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1175" activeTab="1"/>
  </bookViews>
  <sheets>
    <sheet name="Appendix D" sheetId="1" r:id="rId1"/>
    <sheet name="Appendix C" sheetId="2" r:id="rId2"/>
  </sheets>
  <externalReferences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bc">[1]HOME_REPAIR!#REF!</definedName>
    <definedName name="CENSUS_CALC">'[1].CENSUS_DATA'!#REF!</definedName>
    <definedName name="CENSUS_PRCNT">'[1].CENSUS_DATA'!#REF!</definedName>
    <definedName name="CRIT_CENSUS">'[1].CENSUS_DATA'!#REF!</definedName>
    <definedName name="CRIT_DFGMAND">[1]DFG_MANDATORY!#REF!</definedName>
    <definedName name="CRIT_HMO">[1]HMO!#REF!</definedName>
    <definedName name="CRIT_HOMEREP">[1]HOME_REPAIR!#REF!</definedName>
    <definedName name="CRIT_RENGRANT">'[1].RENOVATION_GRANT'!#REF!</definedName>
    <definedName name="CRIT_RENTEXP">#REF!</definedName>
    <definedName name="CRIT_SCHOOL">#REF!</definedName>
    <definedName name="CRIT_UNEMP">#REF!</definedName>
    <definedName name="EDUCATION">#REF!</definedName>
    <definedName name="EDUCATION_EXPBLK">#REF!</definedName>
    <definedName name="HEADS">#REF!</definedName>
    <definedName name="HEADS_EXPBLK">#REF!</definedName>
    <definedName name="Police2010_11">#REF!</definedName>
    <definedName name="_xlnm.Print_Area" localSheetId="1">'Appendix C'!$A$1:$AN$148</definedName>
    <definedName name="_xlnm.Print_Titles" localSheetId="1">'Appendix C'!$3:$10</definedName>
    <definedName name="Provorfin">#REF!</definedName>
    <definedName name="RENGRANT_PRCNT">'[1].RENOVATION_GRANT'!#REF!</definedName>
    <definedName name="RENTEXP">#REF!</definedName>
    <definedName name="RENTEXP_EXPBLK">#REF!</definedName>
    <definedName name="RENTEXP_PRCNT">#REF!</definedName>
    <definedName name="round_factor">'[2]Monetary Control totals'!$B$19</definedName>
    <definedName name="SCHOOL_PRCNT">#REF!</definedName>
    <definedName name="TRAVEL">#REF!</definedName>
    <definedName name="TRAVEL_EXPBLK">#REF!</definedName>
    <definedName name="UNINTENT2">[1]UNINTENT_HOME!#REF!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1" i="2" l="1"/>
  <c r="AO120" i="2"/>
  <c r="AG120" i="2"/>
  <c r="Y120" i="2"/>
  <c r="Q120" i="2"/>
  <c r="O120" i="2"/>
  <c r="AS116" i="2"/>
  <c r="AQ116" i="2"/>
  <c r="AO116" i="2"/>
  <c r="AK116" i="2"/>
  <c r="AI116" i="2"/>
  <c r="AG116" i="2"/>
  <c r="AC116" i="2"/>
  <c r="AA116" i="2"/>
  <c r="Y116" i="2"/>
  <c r="U116" i="2"/>
  <c r="S116" i="2"/>
  <c r="Q116" i="2"/>
  <c r="M116" i="2"/>
  <c r="K116" i="2"/>
  <c r="D116" i="2"/>
  <c r="O113" i="2"/>
  <c r="W113" i="2" s="1"/>
  <c r="AE113" i="2" s="1"/>
  <c r="AM113" i="2" s="1"/>
  <c r="AU113" i="2" s="1"/>
  <c r="O112" i="2"/>
  <c r="W112" i="2" s="1"/>
  <c r="AE112" i="2" s="1"/>
  <c r="AM112" i="2" s="1"/>
  <c r="AU112" i="2" s="1"/>
  <c r="G112" i="2"/>
  <c r="AM111" i="2"/>
  <c r="AU111" i="2" s="1"/>
  <c r="AE111" i="2"/>
  <c r="W111" i="2"/>
  <c r="O111" i="2"/>
  <c r="I110" i="2"/>
  <c r="I116" i="2" s="1"/>
  <c r="G110" i="2"/>
  <c r="O109" i="2"/>
  <c r="AS104" i="2"/>
  <c r="AQ104" i="2"/>
  <c r="AO104" i="2"/>
  <c r="AK104" i="2"/>
  <c r="AI104" i="2"/>
  <c r="AG104" i="2"/>
  <c r="AC104" i="2"/>
  <c r="AA104" i="2"/>
  <c r="Y104" i="2"/>
  <c r="U104" i="2"/>
  <c r="S104" i="2"/>
  <c r="Q104" i="2"/>
  <c r="M104" i="2"/>
  <c r="K104" i="2"/>
  <c r="I104" i="2"/>
  <c r="G104" i="2"/>
  <c r="O103" i="2"/>
  <c r="W103" i="2" s="1"/>
  <c r="AE103" i="2" s="1"/>
  <c r="AM103" i="2" s="1"/>
  <c r="AU103" i="2" s="1"/>
  <c r="O102" i="2"/>
  <c r="W102" i="2" s="1"/>
  <c r="AE102" i="2" s="1"/>
  <c r="AM102" i="2" s="1"/>
  <c r="AU102" i="2" s="1"/>
  <c r="W101" i="2"/>
  <c r="AE101" i="2" s="1"/>
  <c r="AM101" i="2" s="1"/>
  <c r="AU101" i="2" s="1"/>
  <c r="O101" i="2"/>
  <c r="O100" i="2"/>
  <c r="O104" i="2" s="1"/>
  <c r="AS94" i="2"/>
  <c r="AQ92" i="2"/>
  <c r="AO92" i="2"/>
  <c r="AI92" i="2"/>
  <c r="AG92" i="2"/>
  <c r="AA92" i="2"/>
  <c r="Y92" i="2"/>
  <c r="S92" i="2"/>
  <c r="Q92" i="2"/>
  <c r="M92" i="2"/>
  <c r="I92" i="2"/>
  <c r="G92" i="2"/>
  <c r="O92" i="2" s="1"/>
  <c r="W92" i="2" s="1"/>
  <c r="AE92" i="2" s="1"/>
  <c r="AM92" i="2" s="1"/>
  <c r="AU92" i="2" s="1"/>
  <c r="I91" i="2"/>
  <c r="G91" i="2"/>
  <c r="K91" i="2" s="1"/>
  <c r="AQ90" i="2"/>
  <c r="AO90" i="2"/>
  <c r="AO94" i="2" s="1"/>
  <c r="AK90" i="2"/>
  <c r="AK94" i="2" s="1"/>
  <c r="AG90" i="2"/>
  <c r="AG94" i="2" s="1"/>
  <c r="AC90" i="2"/>
  <c r="AC94" i="2" s="1"/>
  <c r="Y90" i="2"/>
  <c r="Y94" i="2" s="1"/>
  <c r="U90" i="2"/>
  <c r="U94" i="2" s="1"/>
  <c r="Q90" i="2"/>
  <c r="Q94" i="2" s="1"/>
  <c r="M90" i="2"/>
  <c r="I90" i="2"/>
  <c r="I94" i="2" s="1"/>
  <c r="G90" i="2"/>
  <c r="AS84" i="2"/>
  <c r="AK84" i="2"/>
  <c r="AC84" i="2"/>
  <c r="U84" i="2"/>
  <c r="M84" i="2"/>
  <c r="AQ83" i="2"/>
  <c r="AQ84" i="2" s="1"/>
  <c r="AO83" i="2"/>
  <c r="AO84" i="2" s="1"/>
  <c r="AI83" i="2"/>
  <c r="AI84" i="2" s="1"/>
  <c r="AG83" i="2"/>
  <c r="AG84" i="2" s="1"/>
  <c r="AA83" i="2"/>
  <c r="AA84" i="2" s="1"/>
  <c r="Y83" i="2"/>
  <c r="Y84" i="2" s="1"/>
  <c r="S83" i="2"/>
  <c r="S84" i="2" s="1"/>
  <c r="Q83" i="2"/>
  <c r="Q84" i="2" s="1"/>
  <c r="K83" i="2"/>
  <c r="K84" i="2" s="1"/>
  <c r="I83" i="2"/>
  <c r="I84" i="2" s="1"/>
  <c r="G83" i="2"/>
  <c r="AQ74" i="2"/>
  <c r="AO74" i="2"/>
  <c r="AI74" i="2"/>
  <c r="AG74" i="2"/>
  <c r="AA74" i="2"/>
  <c r="Y74" i="2"/>
  <c r="S74" i="2"/>
  <c r="Q74" i="2"/>
  <c r="K74" i="2"/>
  <c r="I74" i="2"/>
  <c r="G74" i="2"/>
  <c r="M74" i="2" s="1"/>
  <c r="AS71" i="2"/>
  <c r="AS76" i="2" s="1"/>
  <c r="AQ70" i="2"/>
  <c r="AO70" i="2"/>
  <c r="AI70" i="2"/>
  <c r="AG70" i="2"/>
  <c r="AA70" i="2"/>
  <c r="Y70" i="2"/>
  <c r="S70" i="2"/>
  <c r="Q70" i="2"/>
  <c r="K70" i="2"/>
  <c r="I70" i="2"/>
  <c r="G70" i="2"/>
  <c r="AQ69" i="2"/>
  <c r="AO69" i="2"/>
  <c r="AI69" i="2"/>
  <c r="AG69" i="2"/>
  <c r="AA69" i="2"/>
  <c r="Y69" i="2"/>
  <c r="S69" i="2"/>
  <c r="Q69" i="2"/>
  <c r="K69" i="2"/>
  <c r="I69" i="2"/>
  <c r="G69" i="2"/>
  <c r="AQ68" i="2"/>
  <c r="AO68" i="2"/>
  <c r="AI68" i="2"/>
  <c r="AG68" i="2"/>
  <c r="AA68" i="2"/>
  <c r="Y68" i="2"/>
  <c r="S68" i="2"/>
  <c r="Q68" i="2"/>
  <c r="K68" i="2"/>
  <c r="I68" i="2"/>
  <c r="G68" i="2"/>
  <c r="AQ67" i="2"/>
  <c r="AO67" i="2"/>
  <c r="AI67" i="2"/>
  <c r="AG67" i="2"/>
  <c r="AA67" i="2"/>
  <c r="Y67" i="2"/>
  <c r="S67" i="2"/>
  <c r="Q67" i="2"/>
  <c r="K67" i="2"/>
  <c r="I67" i="2"/>
  <c r="G67" i="2"/>
  <c r="AQ66" i="2"/>
  <c r="AO66" i="2"/>
  <c r="AI66" i="2"/>
  <c r="AG66" i="2"/>
  <c r="AA66" i="2"/>
  <c r="Y66" i="2"/>
  <c r="S66" i="2"/>
  <c r="Q66" i="2"/>
  <c r="K66" i="2"/>
  <c r="I66" i="2"/>
  <c r="G66" i="2"/>
  <c r="M66" i="2" s="1"/>
  <c r="AQ65" i="2"/>
  <c r="AO65" i="2"/>
  <c r="AI65" i="2"/>
  <c r="AG65" i="2"/>
  <c r="AA65" i="2"/>
  <c r="Y65" i="2"/>
  <c r="S65" i="2"/>
  <c r="Q65" i="2"/>
  <c r="K65" i="2"/>
  <c r="I65" i="2"/>
  <c r="G65" i="2"/>
  <c r="AQ64" i="2"/>
  <c r="AO64" i="2"/>
  <c r="AI64" i="2"/>
  <c r="AG64" i="2"/>
  <c r="AA64" i="2"/>
  <c r="Y64" i="2"/>
  <c r="S64" i="2"/>
  <c r="Q64" i="2"/>
  <c r="K64" i="2"/>
  <c r="I64" i="2"/>
  <c r="G64" i="2"/>
  <c r="O64" i="2" s="1"/>
  <c r="W64" i="2" s="1"/>
  <c r="AE64" i="2" s="1"/>
  <c r="AM64" i="2" s="1"/>
  <c r="AU64" i="2" s="1"/>
  <c r="AQ63" i="2"/>
  <c r="AO63" i="2"/>
  <c r="AO71" i="2" s="1"/>
  <c r="AI63" i="2"/>
  <c r="AG63" i="2"/>
  <c r="AG71" i="2" s="1"/>
  <c r="AA63" i="2"/>
  <c r="Y63" i="2"/>
  <c r="Y71" i="2" s="1"/>
  <c r="S63" i="2"/>
  <c r="Q63" i="2"/>
  <c r="Q71" i="2" s="1"/>
  <c r="K63" i="2"/>
  <c r="I63" i="2"/>
  <c r="I71" i="2" s="1"/>
  <c r="G63" i="2"/>
  <c r="AQ59" i="2"/>
  <c r="AO59" i="2"/>
  <c r="AI59" i="2"/>
  <c r="AG59" i="2"/>
  <c r="AA59" i="2"/>
  <c r="Y59" i="2"/>
  <c r="S59" i="2"/>
  <c r="Q59" i="2"/>
  <c r="K59" i="2"/>
  <c r="I59" i="2"/>
  <c r="G59" i="2"/>
  <c r="I55" i="2"/>
  <c r="M53" i="2"/>
  <c r="K53" i="2"/>
  <c r="I53" i="2"/>
  <c r="G53" i="2"/>
  <c r="O53" i="2" s="1"/>
  <c r="AQ50" i="2"/>
  <c r="AO50" i="2"/>
  <c r="AI50" i="2"/>
  <c r="AG50" i="2"/>
  <c r="AA50" i="2"/>
  <c r="Y50" i="2"/>
  <c r="S50" i="2"/>
  <c r="Q50" i="2"/>
  <c r="K50" i="2"/>
  <c r="I50" i="2"/>
  <c r="G50" i="2"/>
  <c r="AS47" i="2"/>
  <c r="AS53" i="2" s="1"/>
  <c r="AQ46" i="2"/>
  <c r="AO46" i="2"/>
  <c r="AI46" i="2"/>
  <c r="AG46" i="2"/>
  <c r="AA46" i="2"/>
  <c r="Y46" i="2"/>
  <c r="S46" i="2"/>
  <c r="Q46" i="2"/>
  <c r="K46" i="2"/>
  <c r="I46" i="2"/>
  <c r="G46" i="2"/>
  <c r="M46" i="2" s="1"/>
  <c r="AQ45" i="2"/>
  <c r="AO45" i="2"/>
  <c r="AI45" i="2"/>
  <c r="AG45" i="2"/>
  <c r="AA45" i="2"/>
  <c r="Y45" i="2"/>
  <c r="S45" i="2"/>
  <c r="Q45" i="2"/>
  <c r="K45" i="2"/>
  <c r="I45" i="2"/>
  <c r="G45" i="2"/>
  <c r="AQ44" i="2"/>
  <c r="AO44" i="2"/>
  <c r="AI44" i="2"/>
  <c r="AG44" i="2"/>
  <c r="AA44" i="2"/>
  <c r="Y44" i="2"/>
  <c r="S44" i="2"/>
  <c r="Q44" i="2"/>
  <c r="K44" i="2"/>
  <c r="I44" i="2"/>
  <c r="G44" i="2"/>
  <c r="M44" i="2" s="1"/>
  <c r="AQ43" i="2"/>
  <c r="AO43" i="2"/>
  <c r="AI43" i="2"/>
  <c r="AG43" i="2"/>
  <c r="AA43" i="2"/>
  <c r="Y43" i="2"/>
  <c r="S43" i="2"/>
  <c r="Q43" i="2"/>
  <c r="K43" i="2"/>
  <c r="I43" i="2"/>
  <c r="G43" i="2"/>
  <c r="AQ42" i="2"/>
  <c r="AO42" i="2"/>
  <c r="AI42" i="2"/>
  <c r="AG42" i="2"/>
  <c r="AA42" i="2"/>
  <c r="Y42" i="2"/>
  <c r="S42" i="2"/>
  <c r="Q42" i="2"/>
  <c r="K42" i="2"/>
  <c r="I42" i="2"/>
  <c r="G42" i="2"/>
  <c r="M42" i="2" s="1"/>
  <c r="AQ41" i="2"/>
  <c r="AO41" i="2"/>
  <c r="AI41" i="2"/>
  <c r="AG41" i="2"/>
  <c r="AA41" i="2"/>
  <c r="Y41" i="2"/>
  <c r="S41" i="2"/>
  <c r="Q41" i="2"/>
  <c r="K41" i="2"/>
  <c r="I41" i="2"/>
  <c r="G41" i="2"/>
  <c r="AQ40" i="2"/>
  <c r="AO40" i="2"/>
  <c r="AI40" i="2"/>
  <c r="AG40" i="2"/>
  <c r="AA40" i="2"/>
  <c r="Y40" i="2"/>
  <c r="S40" i="2"/>
  <c r="Q40" i="2"/>
  <c r="K40" i="2"/>
  <c r="I40" i="2"/>
  <c r="G40" i="2"/>
  <c r="M40" i="2" s="1"/>
  <c r="AQ39" i="2"/>
  <c r="AO39" i="2"/>
  <c r="AI39" i="2"/>
  <c r="AG39" i="2"/>
  <c r="AA39" i="2"/>
  <c r="Y39" i="2"/>
  <c r="S39" i="2"/>
  <c r="Q39" i="2"/>
  <c r="K39" i="2"/>
  <c r="I39" i="2"/>
  <c r="G39" i="2"/>
  <c r="AQ38" i="2"/>
  <c r="AO38" i="2"/>
  <c r="AI38" i="2"/>
  <c r="AG38" i="2"/>
  <c r="AA38" i="2"/>
  <c r="Y38" i="2"/>
  <c r="S38" i="2"/>
  <c r="Q38" i="2"/>
  <c r="K38" i="2"/>
  <c r="I38" i="2"/>
  <c r="G38" i="2"/>
  <c r="AQ37" i="2"/>
  <c r="AO37" i="2"/>
  <c r="AI37" i="2"/>
  <c r="AG37" i="2"/>
  <c r="AA37" i="2"/>
  <c r="Y37" i="2"/>
  <c r="S37" i="2"/>
  <c r="Q37" i="2"/>
  <c r="K37" i="2"/>
  <c r="I37" i="2"/>
  <c r="G37" i="2"/>
  <c r="M37" i="2" s="1"/>
  <c r="AQ36" i="2"/>
  <c r="AO36" i="2"/>
  <c r="AI36" i="2"/>
  <c r="AG36" i="2"/>
  <c r="AA36" i="2"/>
  <c r="Y36" i="2"/>
  <c r="S36" i="2"/>
  <c r="Q36" i="2"/>
  <c r="K36" i="2"/>
  <c r="I36" i="2"/>
  <c r="G36" i="2"/>
  <c r="M36" i="2" s="1"/>
  <c r="AQ35" i="2"/>
  <c r="AO35" i="2"/>
  <c r="AI35" i="2"/>
  <c r="AG35" i="2"/>
  <c r="AA35" i="2"/>
  <c r="Y35" i="2"/>
  <c r="S35" i="2"/>
  <c r="Q35" i="2"/>
  <c r="K35" i="2"/>
  <c r="I35" i="2"/>
  <c r="G35" i="2"/>
  <c r="AQ34" i="2"/>
  <c r="AO34" i="2"/>
  <c r="AI34" i="2"/>
  <c r="AG34" i="2"/>
  <c r="AA34" i="2"/>
  <c r="Y34" i="2"/>
  <c r="S34" i="2"/>
  <c r="Q34" i="2"/>
  <c r="K34" i="2"/>
  <c r="I34" i="2"/>
  <c r="G34" i="2"/>
  <c r="AQ33" i="2"/>
  <c r="AO33" i="2"/>
  <c r="AI33" i="2"/>
  <c r="AG33" i="2"/>
  <c r="AA33" i="2"/>
  <c r="Y33" i="2"/>
  <c r="S33" i="2"/>
  <c r="Q33" i="2"/>
  <c r="K33" i="2"/>
  <c r="I33" i="2"/>
  <c r="G33" i="2"/>
  <c r="M33" i="2" s="1"/>
  <c r="AQ32" i="2"/>
  <c r="AO32" i="2"/>
  <c r="AI32" i="2"/>
  <c r="AG32" i="2"/>
  <c r="AA32" i="2"/>
  <c r="Y32" i="2"/>
  <c r="S32" i="2"/>
  <c r="Q32" i="2"/>
  <c r="K32" i="2"/>
  <c r="I32" i="2"/>
  <c r="G32" i="2"/>
  <c r="AQ31" i="2"/>
  <c r="AO31" i="2"/>
  <c r="AI31" i="2"/>
  <c r="AG31" i="2"/>
  <c r="AA31" i="2"/>
  <c r="Y31" i="2"/>
  <c r="S31" i="2"/>
  <c r="Q31" i="2"/>
  <c r="K31" i="2"/>
  <c r="I31" i="2"/>
  <c r="G31" i="2"/>
  <c r="M31" i="2" s="1"/>
  <c r="AQ30" i="2"/>
  <c r="AO30" i="2"/>
  <c r="AI30" i="2"/>
  <c r="AG30" i="2"/>
  <c r="AA30" i="2"/>
  <c r="Y30" i="2"/>
  <c r="S30" i="2"/>
  <c r="Q30" i="2"/>
  <c r="K30" i="2"/>
  <c r="I30" i="2"/>
  <c r="G30" i="2"/>
  <c r="AQ29" i="2"/>
  <c r="AO29" i="2"/>
  <c r="AI29" i="2"/>
  <c r="AG29" i="2"/>
  <c r="AA29" i="2"/>
  <c r="Y29" i="2"/>
  <c r="S29" i="2"/>
  <c r="Q29" i="2"/>
  <c r="K29" i="2"/>
  <c r="I29" i="2"/>
  <c r="G29" i="2"/>
  <c r="M29" i="2" s="1"/>
  <c r="AQ28" i="2"/>
  <c r="AO28" i="2"/>
  <c r="AI28" i="2"/>
  <c r="AG28" i="2"/>
  <c r="AA28" i="2"/>
  <c r="Y28" i="2"/>
  <c r="S28" i="2"/>
  <c r="Q28" i="2"/>
  <c r="K28" i="2"/>
  <c r="I28" i="2"/>
  <c r="G28" i="2"/>
  <c r="AQ27" i="2"/>
  <c r="AO27" i="2"/>
  <c r="AI27" i="2"/>
  <c r="AG27" i="2"/>
  <c r="AA27" i="2"/>
  <c r="Y27" i="2"/>
  <c r="S27" i="2"/>
  <c r="Q27" i="2"/>
  <c r="K27" i="2"/>
  <c r="I27" i="2"/>
  <c r="G27" i="2"/>
  <c r="M27" i="2" s="1"/>
  <c r="AQ26" i="2"/>
  <c r="AO26" i="2"/>
  <c r="AI26" i="2"/>
  <c r="AG26" i="2"/>
  <c r="AA26" i="2"/>
  <c r="Y26" i="2"/>
  <c r="S26" i="2"/>
  <c r="Q26" i="2"/>
  <c r="K26" i="2"/>
  <c r="I26" i="2"/>
  <c r="G26" i="2"/>
  <c r="M26" i="2" s="1"/>
  <c r="AQ25" i="2"/>
  <c r="AO25" i="2"/>
  <c r="AI25" i="2"/>
  <c r="AG25" i="2"/>
  <c r="AA25" i="2"/>
  <c r="Y25" i="2"/>
  <c r="S25" i="2"/>
  <c r="Q25" i="2"/>
  <c r="K25" i="2"/>
  <c r="I25" i="2"/>
  <c r="G25" i="2"/>
  <c r="AQ24" i="2"/>
  <c r="AO24" i="2"/>
  <c r="AI24" i="2"/>
  <c r="AG24" i="2"/>
  <c r="AA24" i="2"/>
  <c r="Y24" i="2"/>
  <c r="S24" i="2"/>
  <c r="Q24" i="2"/>
  <c r="K24" i="2"/>
  <c r="I24" i="2"/>
  <c r="G24" i="2"/>
  <c r="M24" i="2" s="1"/>
  <c r="AQ23" i="2"/>
  <c r="AO23" i="2"/>
  <c r="AI23" i="2"/>
  <c r="AG23" i="2"/>
  <c r="AA23" i="2"/>
  <c r="Y23" i="2"/>
  <c r="S23" i="2"/>
  <c r="Q23" i="2"/>
  <c r="K23" i="2"/>
  <c r="I23" i="2"/>
  <c r="G23" i="2"/>
  <c r="AQ22" i="2"/>
  <c r="AQ47" i="2" s="1"/>
  <c r="AO22" i="2"/>
  <c r="AI22" i="2"/>
  <c r="AI47" i="2" s="1"/>
  <c r="AG22" i="2"/>
  <c r="AA22" i="2"/>
  <c r="AA47" i="2" s="1"/>
  <c r="Y22" i="2"/>
  <c r="S22" i="2"/>
  <c r="S47" i="2" s="1"/>
  <c r="Q22" i="2"/>
  <c r="K22" i="2"/>
  <c r="K47" i="2" s="1"/>
  <c r="I22" i="2"/>
  <c r="G22" i="2"/>
  <c r="G47" i="2" s="1"/>
  <c r="AS19" i="2"/>
  <c r="AS52" i="2" s="1"/>
  <c r="AQ18" i="2"/>
  <c r="AO18" i="2"/>
  <c r="AI18" i="2"/>
  <c r="AG18" i="2"/>
  <c r="AA18" i="2"/>
  <c r="Y18" i="2"/>
  <c r="S18" i="2"/>
  <c r="Q18" i="2"/>
  <c r="M18" i="2"/>
  <c r="K18" i="2"/>
  <c r="I18" i="2"/>
  <c r="G18" i="2"/>
  <c r="AQ17" i="2"/>
  <c r="AO17" i="2"/>
  <c r="AI17" i="2"/>
  <c r="AG17" i="2"/>
  <c r="AA17" i="2"/>
  <c r="Y17" i="2"/>
  <c r="S17" i="2"/>
  <c r="Q17" i="2"/>
  <c r="M17" i="2"/>
  <c r="K17" i="2"/>
  <c r="I17" i="2"/>
  <c r="G17" i="2"/>
  <c r="AQ16" i="2"/>
  <c r="AO16" i="2"/>
  <c r="AI16" i="2"/>
  <c r="AG16" i="2"/>
  <c r="AA16" i="2"/>
  <c r="Y16" i="2"/>
  <c r="S16" i="2"/>
  <c r="Q16" i="2"/>
  <c r="M16" i="2"/>
  <c r="K16" i="2"/>
  <c r="I16" i="2"/>
  <c r="G16" i="2"/>
  <c r="AQ15" i="2"/>
  <c r="AO15" i="2"/>
  <c r="AI15" i="2"/>
  <c r="AG15" i="2"/>
  <c r="AA15" i="2"/>
  <c r="Y15" i="2"/>
  <c r="S15" i="2"/>
  <c r="Q15" i="2"/>
  <c r="M15" i="2"/>
  <c r="K15" i="2"/>
  <c r="I15" i="2"/>
  <c r="G15" i="2"/>
  <c r="AQ14" i="2"/>
  <c r="AQ19" i="2" s="1"/>
  <c r="AQ52" i="2" s="1"/>
  <c r="AO14" i="2"/>
  <c r="AI14" i="2"/>
  <c r="AI19" i="2" s="1"/>
  <c r="AG14" i="2"/>
  <c r="AA14" i="2"/>
  <c r="AA19" i="2" s="1"/>
  <c r="Y14" i="2"/>
  <c r="S14" i="2"/>
  <c r="S19" i="2" s="1"/>
  <c r="Q14" i="2"/>
  <c r="M14" i="2"/>
  <c r="M19" i="2" s="1"/>
  <c r="K14" i="2"/>
  <c r="K19" i="2" s="1"/>
  <c r="I14" i="2"/>
  <c r="I19" i="2" s="1"/>
  <c r="G14" i="2"/>
  <c r="G19" i="2" s="1"/>
  <c r="I69" i="1"/>
  <c r="I68" i="1"/>
  <c r="I62" i="1"/>
  <c r="J62" i="1" s="1"/>
  <c r="H53" i="1"/>
  <c r="H51" i="1"/>
  <c r="I60" i="1" s="1"/>
  <c r="J60" i="1" s="1"/>
  <c r="H49" i="1"/>
  <c r="J46" i="1"/>
  <c r="I46" i="1"/>
  <c r="H43" i="1"/>
  <c r="H39" i="1"/>
  <c r="H38" i="1"/>
  <c r="H30" i="1"/>
  <c r="H26" i="1"/>
  <c r="I26" i="1" s="1"/>
  <c r="J26" i="1" s="1"/>
  <c r="H21" i="1"/>
  <c r="I21" i="1" s="1"/>
  <c r="J21" i="1" s="1"/>
  <c r="I11" i="1"/>
  <c r="I15" i="1" s="1"/>
  <c r="I43" i="1" l="1"/>
  <c r="J43" i="1" s="1"/>
  <c r="I71" i="1"/>
  <c r="Y53" i="2"/>
  <c r="AO53" i="2"/>
  <c r="O15" i="2"/>
  <c r="O16" i="2"/>
  <c r="O17" i="2"/>
  <c r="O18" i="2"/>
  <c r="I47" i="2"/>
  <c r="Q47" i="2"/>
  <c r="Q53" i="2" s="1"/>
  <c r="Y47" i="2"/>
  <c r="AG47" i="2"/>
  <c r="AG53" i="2" s="1"/>
  <c r="AO47" i="2"/>
  <c r="M23" i="2"/>
  <c r="M25" i="2"/>
  <c r="O26" i="2"/>
  <c r="U26" i="2" s="1"/>
  <c r="W26" i="2" s="1"/>
  <c r="M28" i="2"/>
  <c r="M30" i="2"/>
  <c r="O30" i="2" s="1"/>
  <c r="M32" i="2"/>
  <c r="M34" i="2"/>
  <c r="O34" i="2" s="1"/>
  <c r="M35" i="2"/>
  <c r="O36" i="2"/>
  <c r="U36" i="2" s="1"/>
  <c r="M38" i="2"/>
  <c r="O38" i="2" s="1"/>
  <c r="M39" i="2"/>
  <c r="M41" i="2"/>
  <c r="M43" i="2"/>
  <c r="M45" i="2"/>
  <c r="I76" i="2"/>
  <c r="Q76" i="2"/>
  <c r="Y76" i="2"/>
  <c r="AG76" i="2"/>
  <c r="AO76" i="2"/>
  <c r="G71" i="2"/>
  <c r="G76" i="2" s="1"/>
  <c r="G80" i="2" s="1"/>
  <c r="K71" i="2"/>
  <c r="K76" i="2" s="1"/>
  <c r="K80" i="2" s="1"/>
  <c r="K88" i="2" s="1"/>
  <c r="S71" i="2"/>
  <c r="S76" i="2" s="1"/>
  <c r="S80" i="2" s="1"/>
  <c r="S88" i="2" s="1"/>
  <c r="AA71" i="2"/>
  <c r="AA76" i="2" s="1"/>
  <c r="AI71" i="2"/>
  <c r="AI76" i="2" s="1"/>
  <c r="AI80" i="2" s="1"/>
  <c r="AI88" i="2" s="1"/>
  <c r="AQ71" i="2"/>
  <c r="AQ76" i="2" s="1"/>
  <c r="AQ80" i="2" s="1"/>
  <c r="AQ88" i="2" s="1"/>
  <c r="AQ97" i="2" s="1"/>
  <c r="AQ107" i="2" s="1"/>
  <c r="M65" i="2"/>
  <c r="M70" i="2"/>
  <c r="O70" i="2" s="1"/>
  <c r="U70" i="2" s="1"/>
  <c r="W70" i="2" s="1"/>
  <c r="O83" i="2"/>
  <c r="G94" i="2"/>
  <c r="M94" i="2"/>
  <c r="AQ94" i="2"/>
  <c r="G116" i="2"/>
  <c r="W120" i="2"/>
  <c r="AE120" i="2" s="1"/>
  <c r="AM120" i="2" s="1"/>
  <c r="AU120" i="2" s="1"/>
  <c r="I64" i="1"/>
  <c r="J64" i="1" s="1"/>
  <c r="U15" i="2"/>
  <c r="W15" i="2" s="1"/>
  <c r="U16" i="2"/>
  <c r="W16" i="2" s="1"/>
  <c r="U17" i="2"/>
  <c r="W17" i="2" s="1"/>
  <c r="U18" i="2"/>
  <c r="W18" i="2" s="1"/>
  <c r="Q19" i="2"/>
  <c r="Y19" i="2"/>
  <c r="Y52" i="2" s="1"/>
  <c r="AG19" i="2"/>
  <c r="AG52" i="2" s="1"/>
  <c r="AG80" i="2" s="1"/>
  <c r="AG88" i="2" s="1"/>
  <c r="AG97" i="2" s="1"/>
  <c r="AG107" i="2" s="1"/>
  <c r="AO19" i="2"/>
  <c r="AO52" i="2" s="1"/>
  <c r="O23" i="2"/>
  <c r="O24" i="2"/>
  <c r="O28" i="2"/>
  <c r="O32" i="2"/>
  <c r="I52" i="2"/>
  <c r="Q52" i="2"/>
  <c r="Q80" i="2" s="1"/>
  <c r="Q88" i="2" s="1"/>
  <c r="Q97" i="2" s="1"/>
  <c r="Q107" i="2" s="1"/>
  <c r="O14" i="2"/>
  <c r="M22" i="2"/>
  <c r="O25" i="2"/>
  <c r="O27" i="2"/>
  <c r="O29" i="2"/>
  <c r="O31" i="2"/>
  <c r="O33" i="2"/>
  <c r="O35" i="2"/>
  <c r="W36" i="2"/>
  <c r="O37" i="2"/>
  <c r="G52" i="2"/>
  <c r="K52" i="2"/>
  <c r="S52" i="2"/>
  <c r="AA52" i="2"/>
  <c r="AA80" i="2" s="1"/>
  <c r="AA88" i="2" s="1"/>
  <c r="AI52" i="2"/>
  <c r="O39" i="2"/>
  <c r="O40" i="2"/>
  <c r="O41" i="2"/>
  <c r="O42" i="2"/>
  <c r="O43" i="2"/>
  <c r="O44" i="2"/>
  <c r="O45" i="2"/>
  <c r="O46" i="2"/>
  <c r="M50" i="2"/>
  <c r="O65" i="2"/>
  <c r="O66" i="2"/>
  <c r="AS80" i="2"/>
  <c r="AS88" i="2" s="1"/>
  <c r="O84" i="2"/>
  <c r="W83" i="2"/>
  <c r="O50" i="2"/>
  <c r="I80" i="2"/>
  <c r="I88" i="2" s="1"/>
  <c r="M59" i="2"/>
  <c r="O59" i="2" s="1"/>
  <c r="AO80" i="2"/>
  <c r="AO88" i="2" s="1"/>
  <c r="O63" i="2"/>
  <c r="M67" i="2"/>
  <c r="M71" i="2" s="1"/>
  <c r="M68" i="2"/>
  <c r="O68" i="2" s="1"/>
  <c r="M69" i="2"/>
  <c r="O69" i="2" s="1"/>
  <c r="O74" i="2"/>
  <c r="G84" i="2"/>
  <c r="AS97" i="2"/>
  <c r="AS107" i="2" s="1"/>
  <c r="I97" i="2"/>
  <c r="I107" i="2" s="1"/>
  <c r="AO97" i="2"/>
  <c r="AO107" i="2" s="1"/>
  <c r="O91" i="2"/>
  <c r="W100" i="2"/>
  <c r="W109" i="2"/>
  <c r="O110" i="2"/>
  <c r="W110" i="2" s="1"/>
  <c r="AE110" i="2" s="1"/>
  <c r="AM110" i="2" s="1"/>
  <c r="AU110" i="2" s="1"/>
  <c r="K90" i="2"/>
  <c r="K94" i="2" s="1"/>
  <c r="U34" i="2" l="1"/>
  <c r="W34" i="2"/>
  <c r="U38" i="2"/>
  <c r="W38" i="2"/>
  <c r="K97" i="2"/>
  <c r="K107" i="2" s="1"/>
  <c r="M47" i="2"/>
  <c r="M52" i="2" s="1"/>
  <c r="Y80" i="2"/>
  <c r="Y88" i="2" s="1"/>
  <c r="Y97" i="2" s="1"/>
  <c r="Y107" i="2" s="1"/>
  <c r="U68" i="2"/>
  <c r="W68" i="2" s="1"/>
  <c r="AC70" i="2"/>
  <c r="AE70" i="2" s="1"/>
  <c r="U59" i="2"/>
  <c r="AC17" i="2"/>
  <c r="AE17" i="2" s="1"/>
  <c r="AC15" i="2"/>
  <c r="AE15" i="2" s="1"/>
  <c r="AC18" i="2"/>
  <c r="AE18" i="2" s="1"/>
  <c r="AC16" i="2"/>
  <c r="AE16" i="2" s="1"/>
  <c r="S91" i="2"/>
  <c r="W91" i="2" s="1"/>
  <c r="O90" i="2"/>
  <c r="W104" i="2"/>
  <c r="AE100" i="2"/>
  <c r="O116" i="2"/>
  <c r="W63" i="2"/>
  <c r="AE83" i="2"/>
  <c r="W84" i="2"/>
  <c r="O67" i="2"/>
  <c r="U65" i="2"/>
  <c r="W65" i="2" s="1"/>
  <c r="G88" i="2"/>
  <c r="G97" i="2" s="1"/>
  <c r="G107" i="2" s="1"/>
  <c r="U46" i="2"/>
  <c r="W46" i="2" s="1"/>
  <c r="U44" i="2"/>
  <c r="W44" i="2" s="1"/>
  <c r="U42" i="2"/>
  <c r="W42" i="2" s="1"/>
  <c r="U40" i="2"/>
  <c r="W40" i="2" s="1"/>
  <c r="U37" i="2"/>
  <c r="W37" i="2" s="1"/>
  <c r="U35" i="2"/>
  <c r="W35" i="2" s="1"/>
  <c r="U33" i="2"/>
  <c r="W33" i="2" s="1"/>
  <c r="U29" i="2"/>
  <c r="W29" i="2" s="1"/>
  <c r="AC26" i="2"/>
  <c r="AE26" i="2" s="1"/>
  <c r="U30" i="2"/>
  <c r="W30" i="2" s="1"/>
  <c r="U24" i="2"/>
  <c r="W24" i="2" s="1"/>
  <c r="O22" i="2"/>
  <c r="AE109" i="2"/>
  <c r="W116" i="2"/>
  <c r="U74" i="2"/>
  <c r="W74" i="2"/>
  <c r="M76" i="2"/>
  <c r="U50" i="2"/>
  <c r="U69" i="2"/>
  <c r="W69" i="2" s="1"/>
  <c r="U66" i="2"/>
  <c r="W66" i="2" s="1"/>
  <c r="U45" i="2"/>
  <c r="W45" i="2" s="1"/>
  <c r="U43" i="2"/>
  <c r="W43" i="2" s="1"/>
  <c r="U41" i="2"/>
  <c r="W41" i="2" s="1"/>
  <c r="U39" i="2"/>
  <c r="W39" i="2" s="1"/>
  <c r="AC38" i="2"/>
  <c r="AE38" i="2" s="1"/>
  <c r="AC36" i="2"/>
  <c r="AE36" i="2" s="1"/>
  <c r="AC34" i="2"/>
  <c r="AE34" i="2" s="1"/>
  <c r="U31" i="2"/>
  <c r="W31" i="2" s="1"/>
  <c r="U27" i="2"/>
  <c r="W27" i="2" s="1"/>
  <c r="U25" i="2"/>
  <c r="W25" i="2" s="1"/>
  <c r="O19" i="2"/>
  <c r="U14" i="2"/>
  <c r="W14" i="2" s="1"/>
  <c r="U32" i="2"/>
  <c r="W32" i="2" s="1"/>
  <c r="U28" i="2"/>
  <c r="W28" i="2" s="1"/>
  <c r="U23" i="2"/>
  <c r="W23" i="2" s="1"/>
  <c r="M80" i="2" l="1"/>
  <c r="M88" i="2" s="1"/>
  <c r="M97" i="2" s="1"/>
  <c r="M107" i="2" s="1"/>
  <c r="AC28" i="2"/>
  <c r="AE28" i="2"/>
  <c r="AC30" i="2"/>
  <c r="AE30" i="2"/>
  <c r="AC23" i="2"/>
  <c r="AE23" i="2"/>
  <c r="AC32" i="2"/>
  <c r="AE32" i="2"/>
  <c r="AC69" i="2"/>
  <c r="AE69" i="2" s="1"/>
  <c r="AC24" i="2"/>
  <c r="AE24" i="2" s="1"/>
  <c r="AK26" i="2"/>
  <c r="AM26" i="2" s="1"/>
  <c r="AU26" i="2" s="1"/>
  <c r="AC33" i="2"/>
  <c r="AE33" i="2" s="1"/>
  <c r="AC37" i="2"/>
  <c r="AE37" i="2" s="1"/>
  <c r="AC42" i="2"/>
  <c r="AE42" i="2" s="1"/>
  <c r="AC46" i="2"/>
  <c r="AE46" i="2" s="1"/>
  <c r="AA91" i="2"/>
  <c r="AE91" i="2" s="1"/>
  <c r="AK70" i="2"/>
  <c r="AM70" i="2" s="1"/>
  <c r="AU70" i="2" s="1"/>
  <c r="AC29" i="2"/>
  <c r="AE29" i="2"/>
  <c r="AC35" i="2"/>
  <c r="AE35" i="2"/>
  <c r="AC40" i="2"/>
  <c r="AE40" i="2"/>
  <c r="AC44" i="2"/>
  <c r="AE44" i="2"/>
  <c r="AC68" i="2"/>
  <c r="AE68" i="2" s="1"/>
  <c r="W19" i="2"/>
  <c r="AC14" i="2"/>
  <c r="AK38" i="2"/>
  <c r="AM38" i="2" s="1"/>
  <c r="AU38" i="2" s="1"/>
  <c r="AC25" i="2"/>
  <c r="AE25" i="2" s="1"/>
  <c r="AC27" i="2"/>
  <c r="AE27" i="2" s="1"/>
  <c r="AC31" i="2"/>
  <c r="AE31" i="2" s="1"/>
  <c r="AK34" i="2"/>
  <c r="AM34" i="2" s="1"/>
  <c r="AU34" i="2" s="1"/>
  <c r="AK36" i="2"/>
  <c r="AM36" i="2" s="1"/>
  <c r="AU36" i="2" s="1"/>
  <c r="AC39" i="2"/>
  <c r="AE39" i="2" s="1"/>
  <c r="AC41" i="2"/>
  <c r="AE41" i="2" s="1"/>
  <c r="AC43" i="2"/>
  <c r="AE43" i="2" s="1"/>
  <c r="AC45" i="2"/>
  <c r="AE45" i="2" s="1"/>
  <c r="AC66" i="2"/>
  <c r="AE66" i="2" s="1"/>
  <c r="AC74" i="2"/>
  <c r="AE74" i="2" s="1"/>
  <c r="O47" i="2"/>
  <c r="O52" i="2" s="1"/>
  <c r="U22" i="2"/>
  <c r="U47" i="2" s="1"/>
  <c r="AC65" i="2"/>
  <c r="AE65" i="2" s="1"/>
  <c r="U67" i="2"/>
  <c r="W67" i="2" s="1"/>
  <c r="AE84" i="2"/>
  <c r="AM83" i="2"/>
  <c r="O71" i="2"/>
  <c r="O76" i="2" s="1"/>
  <c r="AE104" i="2"/>
  <c r="AM100" i="2"/>
  <c r="O94" i="2"/>
  <c r="S90" i="2"/>
  <c r="S94" i="2" s="1"/>
  <c r="S97" i="2" s="1"/>
  <c r="S107" i="2" s="1"/>
  <c r="AK16" i="2"/>
  <c r="AM16" i="2" s="1"/>
  <c r="AU16" i="2" s="1"/>
  <c r="AK18" i="2"/>
  <c r="AM18" i="2" s="1"/>
  <c r="AU18" i="2" s="1"/>
  <c r="AK15" i="2"/>
  <c r="AM15" i="2" s="1"/>
  <c r="AU15" i="2" s="1"/>
  <c r="AK17" i="2"/>
  <c r="AM17" i="2" s="1"/>
  <c r="AU17" i="2" s="1"/>
  <c r="U53" i="2"/>
  <c r="U19" i="2"/>
  <c r="W50" i="2"/>
  <c r="AE116" i="2"/>
  <c r="AM109" i="2"/>
  <c r="AE63" i="2"/>
  <c r="W59" i="2"/>
  <c r="W22" i="2" l="1"/>
  <c r="U52" i="2"/>
  <c r="AC67" i="2"/>
  <c r="AE67" i="2" s="1"/>
  <c r="AE71" i="2" s="1"/>
  <c r="W71" i="2"/>
  <c r="AK74" i="2"/>
  <c r="AM74" i="2" s="1"/>
  <c r="AU74" i="2" s="1"/>
  <c r="AK68" i="2"/>
  <c r="AM68" i="2" s="1"/>
  <c r="AU68" i="2" s="1"/>
  <c r="AK69" i="2"/>
  <c r="AM69" i="2" s="1"/>
  <c r="AU69" i="2" s="1"/>
  <c r="AU109" i="2"/>
  <c r="AU116" i="2" s="1"/>
  <c r="AM116" i="2"/>
  <c r="AC50" i="2"/>
  <c r="AE50" i="2" s="1"/>
  <c r="AK65" i="2"/>
  <c r="AM65" i="2" s="1"/>
  <c r="AU65" i="2" s="1"/>
  <c r="W47" i="2"/>
  <c r="W52" i="2" s="1"/>
  <c r="AC22" i="2"/>
  <c r="AC47" i="2" s="1"/>
  <c r="AK66" i="2"/>
  <c r="AM66" i="2" s="1"/>
  <c r="AU66" i="2" s="1"/>
  <c r="AK45" i="2"/>
  <c r="AM45" i="2" s="1"/>
  <c r="AU45" i="2" s="1"/>
  <c r="AK43" i="2"/>
  <c r="AM43" i="2" s="1"/>
  <c r="AU43" i="2" s="1"/>
  <c r="AK41" i="2"/>
  <c r="AM41" i="2" s="1"/>
  <c r="AU41" i="2" s="1"/>
  <c r="AK39" i="2"/>
  <c r="AM39" i="2" s="1"/>
  <c r="AU39" i="2" s="1"/>
  <c r="AK31" i="2"/>
  <c r="AM31" i="2" s="1"/>
  <c r="AU31" i="2" s="1"/>
  <c r="AK27" i="2"/>
  <c r="AM27" i="2" s="1"/>
  <c r="AU27" i="2" s="1"/>
  <c r="AK25" i="2"/>
  <c r="AM25" i="2" s="1"/>
  <c r="AU25" i="2" s="1"/>
  <c r="AC53" i="2"/>
  <c r="AC19" i="2"/>
  <c r="AK44" i="2"/>
  <c r="AM44" i="2" s="1"/>
  <c r="AU44" i="2" s="1"/>
  <c r="AK40" i="2"/>
  <c r="AM40" i="2" s="1"/>
  <c r="AU40" i="2" s="1"/>
  <c r="AK35" i="2"/>
  <c r="AM35" i="2" s="1"/>
  <c r="AU35" i="2" s="1"/>
  <c r="AK29" i="2"/>
  <c r="AM29" i="2" s="1"/>
  <c r="AU29" i="2" s="1"/>
  <c r="AI91" i="2"/>
  <c r="AM91" i="2" s="1"/>
  <c r="AK46" i="2"/>
  <c r="AM46" i="2" s="1"/>
  <c r="AU46" i="2" s="1"/>
  <c r="AK42" i="2"/>
  <c r="AM42" i="2" s="1"/>
  <c r="AU42" i="2" s="1"/>
  <c r="AK37" i="2"/>
  <c r="AM37" i="2" s="1"/>
  <c r="AU37" i="2" s="1"/>
  <c r="AK33" i="2"/>
  <c r="AM33" i="2" s="1"/>
  <c r="AU33" i="2" s="1"/>
  <c r="AK24" i="2"/>
  <c r="AM24" i="2" s="1"/>
  <c r="AU24" i="2" s="1"/>
  <c r="AK32" i="2"/>
  <c r="AM32" i="2" s="1"/>
  <c r="AU32" i="2" s="1"/>
  <c r="AK23" i="2"/>
  <c r="AM23" i="2" s="1"/>
  <c r="AU23" i="2" s="1"/>
  <c r="AK30" i="2"/>
  <c r="AM30" i="2" s="1"/>
  <c r="AU30" i="2" s="1"/>
  <c r="AK28" i="2"/>
  <c r="AM28" i="2" s="1"/>
  <c r="AU28" i="2" s="1"/>
  <c r="AM84" i="2"/>
  <c r="AU83" i="2"/>
  <c r="AU84" i="2" s="1"/>
  <c r="W76" i="2"/>
  <c r="AC59" i="2"/>
  <c r="AM63" i="2"/>
  <c r="U71" i="2"/>
  <c r="U76" i="2" s="1"/>
  <c r="U80" i="2" s="1"/>
  <c r="U88" i="2" s="1"/>
  <c r="U97" i="2" s="1"/>
  <c r="U107" i="2" s="1"/>
  <c r="W90" i="2"/>
  <c r="AM104" i="2"/>
  <c r="AU100" i="2"/>
  <c r="AU104" i="2" s="1"/>
  <c r="O80" i="2"/>
  <c r="O88" i="2" s="1"/>
  <c r="O97" i="2" s="1"/>
  <c r="O107" i="2" s="1"/>
  <c r="O124" i="2" s="1"/>
  <c r="AC71" i="2"/>
  <c r="AE14" i="2"/>
  <c r="W53" i="2"/>
  <c r="AC76" i="2" l="1"/>
  <c r="AE19" i="2"/>
  <c r="AK14" i="2"/>
  <c r="AM14" i="2" s="1"/>
  <c r="W94" i="2"/>
  <c r="AA90" i="2"/>
  <c r="AA94" i="2" s="1"/>
  <c r="AA97" i="2" s="1"/>
  <c r="AA107" i="2" s="1"/>
  <c r="AU63" i="2"/>
  <c r="AE59" i="2"/>
  <c r="W80" i="2"/>
  <c r="W88" i="2" s="1"/>
  <c r="AE22" i="2"/>
  <c r="AC52" i="2"/>
  <c r="AE52" i="2" s="1"/>
  <c r="AM50" i="2"/>
  <c r="AU50" i="2" s="1"/>
  <c r="AK50" i="2"/>
  <c r="AM67" i="2"/>
  <c r="AU67" i="2" s="1"/>
  <c r="AK67" i="2"/>
  <c r="AK71" i="2" s="1"/>
  <c r="AC80" i="2" l="1"/>
  <c r="AC88" i="2" s="1"/>
  <c r="AC97" i="2" s="1"/>
  <c r="AC107" i="2" s="1"/>
  <c r="AM19" i="2"/>
  <c r="AU14" i="2"/>
  <c r="AE47" i="2"/>
  <c r="AK22" i="2"/>
  <c r="AK47" i="2" s="1"/>
  <c r="AE76" i="2"/>
  <c r="AE80" i="2" s="1"/>
  <c r="AE88" i="2" s="1"/>
  <c r="AK59" i="2"/>
  <c r="AK76" i="2" s="1"/>
  <c r="AM59" i="2"/>
  <c r="AM71" i="2"/>
  <c r="AE90" i="2"/>
  <c r="AE53" i="2"/>
  <c r="AU71" i="2"/>
  <c r="W97" i="2"/>
  <c r="W107" i="2" s="1"/>
  <c r="W124" i="2" s="1"/>
  <c r="AK53" i="2"/>
  <c r="AK19" i="2"/>
  <c r="AM22" i="2" l="1"/>
  <c r="AK52" i="2"/>
  <c r="AM52" i="2" s="1"/>
  <c r="AE94" i="2"/>
  <c r="AE97" i="2" s="1"/>
  <c r="AE107" i="2" s="1"/>
  <c r="AE124" i="2" s="1"/>
  <c r="AI90" i="2"/>
  <c r="AI94" i="2" s="1"/>
  <c r="AI97" i="2" s="1"/>
  <c r="AI107" i="2" s="1"/>
  <c r="AM76" i="2"/>
  <c r="AM80" i="2" s="1"/>
  <c r="AM88" i="2" s="1"/>
  <c r="AU59" i="2"/>
  <c r="AU76" i="2" s="1"/>
  <c r="AK80" i="2"/>
  <c r="AK88" i="2" s="1"/>
  <c r="AK97" i="2" s="1"/>
  <c r="AK107" i="2" s="1"/>
  <c r="AM47" i="2"/>
  <c r="AU22" i="2"/>
  <c r="AU47" i="2" s="1"/>
  <c r="AU19" i="2"/>
  <c r="AM53" i="2"/>
  <c r="AU53" i="2" l="1"/>
  <c r="AU52" i="2"/>
  <c r="AM90" i="2"/>
  <c r="AU80" i="2"/>
  <c r="AU88" i="2" s="1"/>
  <c r="AM94" i="2" l="1"/>
  <c r="AM97" i="2" s="1"/>
  <c r="AM107" i="2" s="1"/>
  <c r="AM124" i="2" s="1"/>
  <c r="AU90" i="2"/>
  <c r="AU94" i="2" s="1"/>
  <c r="AU97" i="2" s="1"/>
  <c r="AU107" i="2" s="1"/>
  <c r="AU124" i="2" s="1"/>
</calcChain>
</file>

<file path=xl/sharedStrings.xml><?xml version="1.0" encoding="utf-8"?>
<sst xmlns="http://schemas.openxmlformats.org/spreadsheetml/2006/main" count="275" uniqueCount="148">
  <si>
    <t>SUMMARY MOVEMENT STATEMENT  2015/16 TO 2016/17</t>
  </si>
  <si>
    <t xml:space="preserve"> </t>
  </si>
  <si>
    <t>£000</t>
  </si>
  <si>
    <t>%</t>
  </si>
  <si>
    <t>BUDGET REQUIREMENT 2015-16</t>
  </si>
  <si>
    <t>Mainsteam PCSO Funded previously by CSF Reserve</t>
  </si>
  <si>
    <t>Mainsteam Historic Cases, CSE, Human Trafficking</t>
  </si>
  <si>
    <t>Approved 1516 Budget</t>
  </si>
  <si>
    <t>Historic Cases funded in 1516 by 1415 Underspend but now mainstreamed</t>
  </si>
  <si>
    <t>Extra Collection Fund Surplus notified after budget seminar</t>
  </si>
  <si>
    <t>Original 1516 Budget</t>
  </si>
  <si>
    <t>UNAVOIDABLE MOVEMENTS</t>
  </si>
  <si>
    <t>Pay and Prices</t>
  </si>
  <si>
    <t>Police Officer</t>
  </si>
  <si>
    <t>Police Staff</t>
  </si>
  <si>
    <t>General Inflation</t>
  </si>
  <si>
    <t xml:space="preserve">Revenue Implications of Capital </t>
  </si>
  <si>
    <t>Transformational Bids</t>
  </si>
  <si>
    <t>Bodyworn Cameras, ANPR and In Car CCTV</t>
  </si>
  <si>
    <t>Budget Increases</t>
  </si>
  <si>
    <t>Add Back 1415 &amp; 1516 Staff Savings Plans</t>
  </si>
  <si>
    <t>Pension NIC</t>
  </si>
  <si>
    <t>Police Officer Increments</t>
  </si>
  <si>
    <t>Temporary Paper Record Review - till Oct 17</t>
  </si>
  <si>
    <t>Abusive Images Unit - 4 Posts</t>
  </si>
  <si>
    <t>4 DCR Sgts</t>
  </si>
  <si>
    <t>Byford</t>
  </si>
  <si>
    <t xml:space="preserve">Training - Specials, Safeguarding and First Aid </t>
  </si>
  <si>
    <t>30 Investigative Officers for Safeguarding</t>
  </si>
  <si>
    <t xml:space="preserve">ESCMP </t>
  </si>
  <si>
    <t>SARC Adults Increase</t>
  </si>
  <si>
    <t>NPAS Contribution</t>
  </si>
  <si>
    <t>Regional Contributions</t>
  </si>
  <si>
    <t>ROCU Increase</t>
  </si>
  <si>
    <t>Other Pressures - Federation Contribution, PNLD, Paediatrics SARC</t>
  </si>
  <si>
    <t>Income and Grants</t>
  </si>
  <si>
    <t>Loss of PCSO Funding now funded by CSF</t>
  </si>
  <si>
    <t>Force Budget Savings</t>
  </si>
  <si>
    <t>Net Effect of Police Officer Movements</t>
  </si>
  <si>
    <t>Police Officer Vacancy Factor</t>
  </si>
  <si>
    <t>ZBB Savings</t>
  </si>
  <si>
    <t>Non Pay Savings</t>
  </si>
  <si>
    <t>Police Officer Standard Rate Review</t>
  </si>
  <si>
    <t>Bank Holiday Overtime</t>
  </si>
  <si>
    <t>FYE of 1516 PCSO Savings</t>
  </si>
  <si>
    <t>IT Pay Savings</t>
  </si>
  <si>
    <t>WyFi Income</t>
  </si>
  <si>
    <t>ECU &amp; DSU Civilianisation</t>
  </si>
  <si>
    <t>Civica Engineer Savings</t>
  </si>
  <si>
    <t>Rank mix changes</t>
  </si>
  <si>
    <t>Office of PCC  Budget Savings</t>
  </si>
  <si>
    <t>DRAFT BASE BUDGET 2016/17</t>
  </si>
  <si>
    <t>Central Police Grant</t>
  </si>
  <si>
    <t>Precept &amp; Collection Fund Surplus</t>
  </si>
  <si>
    <t>Total Funding</t>
  </si>
  <si>
    <t>2015/2016</t>
  </si>
  <si>
    <t>Adjustments</t>
  </si>
  <si>
    <t>Savings</t>
  </si>
  <si>
    <t xml:space="preserve">Pay and </t>
  </si>
  <si>
    <t>2016/2017</t>
  </si>
  <si>
    <t>2017/2018</t>
  </si>
  <si>
    <t>2018/2019</t>
  </si>
  <si>
    <t>2019/2020</t>
  </si>
  <si>
    <t>2020/2021</t>
  </si>
  <si>
    <t>Approved</t>
  </si>
  <si>
    <t xml:space="preserve">Revised </t>
  </si>
  <si>
    <t>Prices</t>
  </si>
  <si>
    <t>Estimate at</t>
  </si>
  <si>
    <t>Budget</t>
  </si>
  <si>
    <t>Estimate at outturn</t>
  </si>
  <si>
    <t>Outturn</t>
  </si>
  <si>
    <t>DEVOLVED AND DELEGATED</t>
  </si>
  <si>
    <t>PAY</t>
  </si>
  <si>
    <t>Police Pay</t>
  </si>
  <si>
    <t>Police Allowances</t>
  </si>
  <si>
    <t>Police Staff Pay and Allowances</t>
  </si>
  <si>
    <t>Police Overtime</t>
  </si>
  <si>
    <t>Police Staff Overtime</t>
  </si>
  <si>
    <t>Sub Total Pay and Overtime</t>
  </si>
  <si>
    <t>NON PAY</t>
  </si>
  <si>
    <t>Medical Expenses</t>
  </si>
  <si>
    <t>Forensic</t>
  </si>
  <si>
    <t>Clothing</t>
  </si>
  <si>
    <t>Training</t>
  </si>
  <si>
    <t>COMPUTERS AND COMMUNICATIONS</t>
  </si>
  <si>
    <t>BUILDINGS MAINTENANCE</t>
  </si>
  <si>
    <t>CLEANING CONTRACT</t>
  </si>
  <si>
    <t>RENT AND RATES</t>
  </si>
  <si>
    <t xml:space="preserve">ENERGY </t>
  </si>
  <si>
    <t>CONTRACTED SUPPORT SERVICES</t>
  </si>
  <si>
    <t>CAR ALLOWANCES &amp; TRAVEL EXPENSES</t>
  </si>
  <si>
    <t>VEHICLE FLEET</t>
  </si>
  <si>
    <t>REGIONAL COLLABORATION</t>
  </si>
  <si>
    <t>OPERATIONAL &amp; ADMIN EQUIPMENT</t>
  </si>
  <si>
    <t>PRINTING PHOTOCOPYING STATIONERY EXTC</t>
  </si>
  <si>
    <t>DIVISIONAL INITIATIVES COMMUNITY SAFETY</t>
  </si>
  <si>
    <t>ID PARADES</t>
  </si>
  <si>
    <t>VEHCLE RECOVERY</t>
  </si>
  <si>
    <t>AGENCY STAFF</t>
  </si>
  <si>
    <t>CONSULTANCY</t>
  </si>
  <si>
    <t>HELICOPTER</t>
  </si>
  <si>
    <t>OFFICERS BORROWED FROM OTHER FORCES</t>
  </si>
  <si>
    <t>SUBSISTENCE HOTEL &amp; HOSPITALITY</t>
  </si>
  <si>
    <t>OTHER</t>
  </si>
  <si>
    <t>INTERNAL RECHARGES</t>
  </si>
  <si>
    <t>Sub Total Non Pay</t>
  </si>
  <si>
    <t>INCOME</t>
  </si>
  <si>
    <t>Income</t>
  </si>
  <si>
    <t>TOTAL DEVOLVED AND DELEGATED</t>
  </si>
  <si>
    <t>NON DEVOLVED/ DELEGATED</t>
  </si>
  <si>
    <t>Pensions</t>
  </si>
  <si>
    <t>Capital Financing</t>
  </si>
  <si>
    <t>DEBT CHARGES</t>
  </si>
  <si>
    <t>DIRECT REVENUE SUPPORT</t>
  </si>
  <si>
    <t>UNFUNDED PENSION COSTS</t>
  </si>
  <si>
    <t>INSURANCE</t>
  </si>
  <si>
    <t>PRISONER MEALS</t>
  </si>
  <si>
    <t>WITNESS ALLOWANCES</t>
  </si>
  <si>
    <t>OTHER ND</t>
  </si>
  <si>
    <t>NATIONAL IT SYSTEMS</t>
  </si>
  <si>
    <t>Income ND</t>
  </si>
  <si>
    <t>TOTAL NON DEVOLVED/DELEGATED</t>
  </si>
  <si>
    <t xml:space="preserve">TOTAL </t>
  </si>
  <si>
    <t>FUNDED FROM RESERVES</t>
  </si>
  <si>
    <t xml:space="preserve">ORGANISATIONAL CHANGE </t>
  </si>
  <si>
    <t>TOTAL FORCE BUDGET</t>
  </si>
  <si>
    <t xml:space="preserve">OFFICE OF THE PCC </t>
  </si>
  <si>
    <t>COMMUNITY SAFETY FUND</t>
  </si>
  <si>
    <t>SHARED SERVICES</t>
  </si>
  <si>
    <t>PNLD</t>
  </si>
  <si>
    <t>TOTAL OPCC AND SHARED SERVICES</t>
  </si>
  <si>
    <t>TOTAL FORCE AND OPCC</t>
  </si>
  <si>
    <t>SAVINGS DELIVERED EARLY TO RESERVES</t>
  </si>
  <si>
    <t>ORGANISATIONAL CHANGE</t>
  </si>
  <si>
    <t>CAPITAL</t>
  </si>
  <si>
    <t>GENERAL BALANCES</t>
  </si>
  <si>
    <t>TOTAL TO RESERVES</t>
  </si>
  <si>
    <t>TOTAL BASE BUDGET</t>
  </si>
  <si>
    <t>FUNDED BY</t>
  </si>
  <si>
    <t>CONTRIBUTION FROM BALANCES</t>
  </si>
  <si>
    <t>CONTRIBUTION FROM EARMARKED RESERVES</t>
  </si>
  <si>
    <t>EXTERNAL SUPPORT</t>
  </si>
  <si>
    <t>COLLECTION FUND SURPLUS/DEFICIT</t>
  </si>
  <si>
    <t>COUNCIL TAX FREEZE GRANT</t>
  </si>
  <si>
    <t>TOTAL FUNDING</t>
  </si>
  <si>
    <t>PRECEPT REQUIREMENT</t>
  </si>
  <si>
    <t>SHORTFALL</t>
  </si>
  <si>
    <t>Last Updated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</si>
</sst>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3" formatCode="_-* #,##0.00_-;\-* #,##0.00_-;_-* &quot;-&quot;??_-;_-@_-"/>
    <numFmt numFmtId="164" formatCode="\ #,###,"/>
    <numFmt numFmtId="165" formatCode="#,##0;[Red]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u val="double"/>
      <sz val="14"/>
      <name val="Verdana"/>
      <family val="2"/>
    </font>
    <font>
      <sz val="14"/>
      <name val="Verdana"/>
      <family val="2"/>
    </font>
    <font>
      <b/>
      <u/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2" applyFont="1"/>
    <xf numFmtId="0" fontId="4" fillId="0" borderId="0" xfId="2" applyFont="1"/>
    <xf numFmtId="2" fontId="3" fillId="0" borderId="0" xfId="2" applyNumberFormat="1" applyFont="1"/>
    <xf numFmtId="6" fontId="3" fillId="0" borderId="0" xfId="2" quotePrefix="1" applyNumberFormat="1" applyFont="1" applyAlignment="1">
      <alignment horizontal="right"/>
    </xf>
    <xf numFmtId="0" fontId="3" fillId="0" borderId="0" xfId="2" quotePrefix="1" applyFont="1" applyAlignment="1">
      <alignment horizontal="right"/>
    </xf>
    <xf numFmtId="2" fontId="3" fillId="0" borderId="0" xfId="2" applyNumberFormat="1" applyFont="1" applyAlignment="1">
      <alignment horizontal="right"/>
    </xf>
    <xf numFmtId="0" fontId="2" fillId="0" borderId="0" xfId="2"/>
    <xf numFmtId="3" fontId="2" fillId="0" borderId="0" xfId="2" applyNumberFormat="1"/>
    <xf numFmtId="2" fontId="2" fillId="0" borderId="0" xfId="2" applyNumberFormat="1"/>
    <xf numFmtId="0" fontId="2" fillId="0" borderId="0" xfId="3" applyFont="1"/>
    <xf numFmtId="3" fontId="3" fillId="0" borderId="0" xfId="2" applyNumberFormat="1" applyFont="1"/>
    <xf numFmtId="0" fontId="2" fillId="0" borderId="0" xfId="2" applyFont="1"/>
    <xf numFmtId="3" fontId="2" fillId="0" borderId="0" xfId="2" applyNumberFormat="1" applyFont="1"/>
    <xf numFmtId="0" fontId="2" fillId="0" borderId="0" xfId="2" applyAlignment="1">
      <alignment horizontal="right"/>
    </xf>
    <xf numFmtId="3" fontId="2" fillId="0" borderId="0" xfId="2" applyNumberFormat="1" applyFill="1"/>
    <xf numFmtId="2" fontId="2" fillId="0" borderId="0" xfId="2" applyNumberFormat="1" applyFill="1"/>
    <xf numFmtId="0" fontId="2" fillId="0" borderId="0" xfId="2" applyFill="1"/>
    <xf numFmtId="1" fontId="2" fillId="0" borderId="0" xfId="2" applyNumberFormat="1"/>
    <xf numFmtId="3" fontId="2" fillId="0" borderId="1" xfId="2" applyNumberFormat="1" applyFill="1" applyBorder="1"/>
    <xf numFmtId="1" fontId="2" fillId="0" borderId="0" xfId="2" applyNumberFormat="1" applyFill="1"/>
    <xf numFmtId="3" fontId="2" fillId="0" borderId="2" xfId="2" applyNumberFormat="1" applyFill="1" applyBorder="1"/>
    <xf numFmtId="3" fontId="2" fillId="0" borderId="0" xfId="2" applyNumberFormat="1" applyFill="1" applyBorder="1"/>
    <xf numFmtId="0" fontId="5" fillId="0" borderId="0" xfId="2" applyFont="1" applyBorder="1" applyAlignment="1">
      <alignment vertical="top" wrapText="1"/>
    </xf>
    <xf numFmtId="3" fontId="6" fillId="0" borderId="0" xfId="2" applyNumberFormat="1" applyFont="1" applyBorder="1" applyAlignment="1">
      <alignment horizontal="center" wrapText="1"/>
    </xf>
    <xf numFmtId="3" fontId="2" fillId="0" borderId="0" xfId="2" applyNumberFormat="1" applyBorder="1"/>
    <xf numFmtId="0" fontId="2" fillId="0" borderId="0" xfId="2" applyBorder="1"/>
    <xf numFmtId="2" fontId="2" fillId="0" borderId="0" xfId="2" applyNumberFormat="1" applyFont="1"/>
    <xf numFmtId="2" fontId="3" fillId="0" borderId="0" xfId="2" applyNumberFormat="1" applyFont="1" applyFill="1"/>
    <xf numFmtId="0" fontId="7" fillId="0" borderId="0" xfId="2" applyNumberFormat="1" applyFont="1"/>
    <xf numFmtId="0" fontId="7" fillId="0" borderId="0" xfId="2" applyFont="1" applyBorder="1" applyAlignment="1">
      <alignment horizontal="center"/>
    </xf>
    <xf numFmtId="0" fontId="7" fillId="0" borderId="0" xfId="2" applyFont="1" applyFill="1"/>
    <xf numFmtId="0" fontId="7" fillId="0" borderId="0" xfId="2" applyNumberFormat="1" applyFont="1" applyFill="1"/>
    <xf numFmtId="164" fontId="7" fillId="0" borderId="0" xfId="2" applyNumberFormat="1" applyFont="1" applyBorder="1" applyAlignment="1">
      <alignment horizontal="center"/>
    </xf>
    <xf numFmtId="164" fontId="7" fillId="0" borderId="0" xfId="2" applyNumberFormat="1" applyFont="1" applyBorder="1"/>
    <xf numFmtId="164" fontId="7" fillId="0" borderId="0" xfId="2" applyNumberFormat="1" applyFont="1"/>
    <xf numFmtId="164" fontId="7" fillId="0" borderId="0" xfId="2" applyNumberFormat="1" applyFont="1" applyFill="1"/>
    <xf numFmtId="164" fontId="7" fillId="2" borderId="3" xfId="2" applyNumberFormat="1" applyFont="1" applyFill="1" applyBorder="1" applyAlignment="1">
      <alignment horizontal="center" vertical="center"/>
    </xf>
    <xf numFmtId="164" fontId="7" fillId="0" borderId="4" xfId="2" applyNumberFormat="1" applyFont="1" applyFill="1" applyBorder="1"/>
    <xf numFmtId="164" fontId="7" fillId="2" borderId="3" xfId="2" applyNumberFormat="1" applyFont="1" applyFill="1" applyBorder="1" applyAlignment="1">
      <alignment horizontal="centerContinuous" vertical="center"/>
    </xf>
    <xf numFmtId="164" fontId="7" fillId="2" borderId="3" xfId="2" applyNumberFormat="1" applyFont="1" applyFill="1" applyBorder="1" applyAlignment="1">
      <alignment horizontal="center"/>
    </xf>
    <xf numFmtId="164" fontId="7" fillId="2" borderId="3" xfId="2" applyNumberFormat="1" applyFont="1" applyFill="1" applyBorder="1"/>
    <xf numFmtId="164" fontId="7" fillId="2" borderId="5" xfId="2" applyNumberFormat="1" applyFont="1" applyFill="1" applyBorder="1" applyAlignment="1">
      <alignment horizontal="center"/>
    </xf>
    <xf numFmtId="164" fontId="8" fillId="3" borderId="0" xfId="2" applyNumberFormat="1" applyFont="1" applyFill="1" applyBorder="1" applyAlignment="1">
      <alignment horizontal="centerContinuous"/>
    </xf>
    <xf numFmtId="164" fontId="8" fillId="0" borderId="0" xfId="2" applyNumberFormat="1" applyFont="1" applyFill="1" applyBorder="1" applyAlignment="1">
      <alignment horizontal="centerContinuous"/>
    </xf>
    <xf numFmtId="164" fontId="7" fillId="3" borderId="0" xfId="2" applyNumberFormat="1" applyFont="1" applyFill="1" applyAlignment="1">
      <alignment horizontal="center"/>
    </xf>
    <xf numFmtId="49" fontId="7" fillId="3" borderId="6" xfId="2" applyNumberFormat="1" applyFont="1" applyFill="1" applyBorder="1" applyAlignment="1">
      <alignment horizontal="center"/>
    </xf>
    <xf numFmtId="164" fontId="7" fillId="0" borderId="0" xfId="2" applyNumberFormat="1" applyFont="1" applyFill="1" applyAlignment="1">
      <alignment horizontal="center"/>
    </xf>
    <xf numFmtId="164" fontId="7" fillId="3" borderId="6" xfId="2" applyNumberFormat="1" applyFont="1" applyFill="1" applyBorder="1" applyAlignment="1">
      <alignment horizontal="center"/>
    </xf>
    <xf numFmtId="164" fontId="7" fillId="3" borderId="0" xfId="2" applyNumberFormat="1" applyFont="1" applyFill="1" applyBorder="1" applyAlignment="1">
      <alignment horizontal="center"/>
    </xf>
    <xf numFmtId="164" fontId="7" fillId="3" borderId="7" xfId="2" applyNumberFormat="1" applyFont="1" applyFill="1" applyBorder="1" applyAlignment="1">
      <alignment horizontal="center"/>
    </xf>
    <xf numFmtId="164" fontId="7" fillId="3" borderId="0" xfId="2" applyNumberFormat="1" applyFont="1" applyFill="1"/>
    <xf numFmtId="164" fontId="7" fillId="3" borderId="8" xfId="2" applyNumberFormat="1" applyFont="1" applyFill="1" applyBorder="1" applyAlignment="1">
      <alignment horizontal="center"/>
    </xf>
    <xf numFmtId="164" fontId="7" fillId="3" borderId="8" xfId="2" applyNumberFormat="1" applyFont="1" applyFill="1" applyBorder="1" applyAlignment="1" applyProtection="1">
      <alignment horizontal="center"/>
      <protection locked="0"/>
    </xf>
    <xf numFmtId="164" fontId="7" fillId="0" borderId="0" xfId="2" applyNumberFormat="1" applyFont="1" applyAlignment="1" applyProtection="1">
      <alignment horizontal="center"/>
      <protection locked="0"/>
    </xf>
    <xf numFmtId="164" fontId="7" fillId="0" borderId="0" xfId="2" applyNumberFormat="1" applyFont="1" applyAlignment="1">
      <alignment horizontal="center"/>
    </xf>
    <xf numFmtId="164" fontId="9" fillId="3" borderId="4" xfId="2" applyNumberFormat="1" applyFont="1" applyFill="1" applyBorder="1" applyAlignment="1">
      <alignment horizontal="left"/>
    </xf>
    <xf numFmtId="164" fontId="7" fillId="0" borderId="4" xfId="2" applyNumberFormat="1" applyFont="1" applyBorder="1" applyAlignment="1" applyProtection="1">
      <alignment horizontal="center"/>
      <protection locked="0"/>
    </xf>
    <xf numFmtId="164" fontId="9" fillId="0" borderId="5" xfId="2" applyNumberFormat="1" applyFont="1" applyFill="1" applyBorder="1" applyAlignment="1">
      <alignment horizontal="left"/>
    </xf>
    <xf numFmtId="164" fontId="9" fillId="0" borderId="4" xfId="2" applyNumberFormat="1" applyFont="1" applyFill="1" applyBorder="1" applyAlignment="1">
      <alignment horizontal="left"/>
    </xf>
    <xf numFmtId="165" fontId="7" fillId="0" borderId="4" xfId="2" applyNumberFormat="1" applyFont="1" applyBorder="1" applyAlignment="1" applyProtection="1">
      <alignment horizontal="center"/>
      <protection locked="0"/>
    </xf>
    <xf numFmtId="165" fontId="7" fillId="0" borderId="0" xfId="2" applyNumberFormat="1" applyFont="1" applyAlignment="1">
      <alignment horizontal="center"/>
    </xf>
    <xf numFmtId="165" fontId="7" fillId="0" borderId="4" xfId="2" applyNumberFormat="1" applyFont="1" applyBorder="1" applyAlignment="1">
      <alignment horizontal="center"/>
    </xf>
    <xf numFmtId="165" fontId="7" fillId="0" borderId="0" xfId="2" applyNumberFormat="1" applyFont="1" applyBorder="1"/>
    <xf numFmtId="165" fontId="7" fillId="0" borderId="0" xfId="2" applyNumberFormat="1" applyFont="1"/>
    <xf numFmtId="165" fontId="7" fillId="0" borderId="0" xfId="2" applyNumberFormat="1" applyFont="1" applyBorder="1" applyAlignment="1">
      <alignment horizontal="center"/>
    </xf>
    <xf numFmtId="164" fontId="9" fillId="3" borderId="0" xfId="2" applyNumberFormat="1" applyFont="1" applyFill="1" applyBorder="1" applyAlignment="1">
      <alignment horizontal="left"/>
    </xf>
    <xf numFmtId="164" fontId="7" fillId="0" borderId="6" xfId="2" applyNumberFormat="1" applyFont="1" applyBorder="1" applyAlignment="1" applyProtection="1">
      <alignment horizontal="center"/>
      <protection locked="0"/>
    </xf>
    <xf numFmtId="164" fontId="9" fillId="0" borderId="0" xfId="2" applyNumberFormat="1" applyFont="1" applyFill="1" applyBorder="1" applyAlignment="1">
      <alignment horizontal="left"/>
    </xf>
    <xf numFmtId="164" fontId="7" fillId="0" borderId="0" xfId="2" applyNumberFormat="1" applyFont="1" applyBorder="1" applyAlignment="1" applyProtection="1">
      <alignment horizontal="center"/>
      <protection locked="0"/>
    </xf>
    <xf numFmtId="165" fontId="7" fillId="0" borderId="6" xfId="2" applyNumberFormat="1" applyFont="1" applyBorder="1" applyAlignment="1" applyProtection="1">
      <alignment horizontal="center"/>
      <protection locked="0"/>
    </xf>
    <xf numFmtId="165" fontId="7" fillId="0" borderId="6" xfId="2" applyNumberFormat="1" applyFont="1" applyBorder="1" applyAlignment="1">
      <alignment horizontal="center"/>
    </xf>
    <xf numFmtId="164" fontId="7" fillId="4" borderId="0" xfId="2" applyNumberFormat="1" applyFont="1" applyFill="1" applyBorder="1" applyAlignment="1">
      <alignment horizontal="left"/>
    </xf>
    <xf numFmtId="164" fontId="7" fillId="0" borderId="7" xfId="2" applyNumberFormat="1" applyFont="1" applyBorder="1" applyAlignment="1" applyProtection="1">
      <alignment horizontal="center"/>
      <protection locked="0"/>
    </xf>
    <xf numFmtId="164" fontId="7" fillId="0" borderId="0" xfId="2" applyNumberFormat="1" applyFont="1" applyFill="1" applyBorder="1" applyAlignment="1">
      <alignment horizontal="left"/>
    </xf>
    <xf numFmtId="165" fontId="7" fillId="0" borderId="7" xfId="2" applyNumberFormat="1" applyFont="1" applyBorder="1" applyAlignment="1" applyProtection="1">
      <alignment horizontal="center"/>
      <protection locked="0"/>
    </xf>
    <xf numFmtId="165" fontId="7" fillId="0" borderId="7" xfId="2" applyNumberFormat="1" applyFont="1" applyBorder="1" applyAlignment="1">
      <alignment horizontal="center"/>
    </xf>
    <xf numFmtId="164" fontId="10" fillId="0" borderId="0" xfId="2" applyNumberFormat="1" applyFont="1"/>
    <xf numFmtId="164" fontId="7" fillId="0" borderId="7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/>
    <xf numFmtId="165" fontId="7" fillId="0" borderId="7" xfId="2" applyNumberFormat="1" applyFont="1" applyFill="1" applyBorder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165" fontId="10" fillId="0" borderId="7" xfId="2" applyNumberFormat="1" applyFont="1" applyFill="1" applyBorder="1" applyAlignment="1">
      <alignment horizontal="center"/>
    </xf>
    <xf numFmtId="165" fontId="7" fillId="0" borderId="0" xfId="4" applyNumberFormat="1" applyFont="1" applyBorder="1" applyAlignment="1">
      <alignment horizontal="center"/>
    </xf>
    <xf numFmtId="165" fontId="10" fillId="0" borderId="7" xfId="2" applyNumberFormat="1" applyFont="1" applyBorder="1" applyAlignment="1">
      <alignment horizontal="center"/>
    </xf>
    <xf numFmtId="165" fontId="7" fillId="0" borderId="7" xfId="2" applyNumberFormat="1" applyFont="1" applyBorder="1"/>
    <xf numFmtId="164" fontId="7" fillId="4" borderId="0" xfId="2" applyNumberFormat="1" applyFont="1" applyFill="1"/>
    <xf numFmtId="164" fontId="7" fillId="5" borderId="7" xfId="2" applyNumberFormat="1" applyFont="1" applyFill="1" applyBorder="1" applyAlignment="1">
      <alignment horizontal="center"/>
    </xf>
    <xf numFmtId="164" fontId="7" fillId="0" borderId="7" xfId="2" applyNumberFormat="1" applyFont="1" applyBorder="1" applyAlignment="1">
      <alignment horizontal="center"/>
    </xf>
    <xf numFmtId="164" fontId="7" fillId="0" borderId="0" xfId="2" applyNumberFormat="1" applyFont="1" applyAlignment="1">
      <alignment horizontal="left"/>
    </xf>
    <xf numFmtId="164" fontId="7" fillId="0" borderId="9" xfId="2" applyNumberFormat="1" applyFont="1" applyBorder="1" applyAlignment="1">
      <alignment horizontal="center"/>
    </xf>
    <xf numFmtId="164" fontId="7" fillId="0" borderId="0" xfId="2" applyNumberFormat="1" applyFont="1" applyFill="1" applyAlignment="1">
      <alignment horizontal="left"/>
    </xf>
    <xf numFmtId="165" fontId="7" fillId="0" borderId="9" xfId="2" applyNumberFormat="1" applyFont="1" applyBorder="1" applyAlignment="1">
      <alignment horizontal="center"/>
    </xf>
    <xf numFmtId="164" fontId="7" fillId="0" borderId="8" xfId="2" applyNumberFormat="1" applyFont="1" applyBorder="1" applyAlignment="1">
      <alignment horizontal="center"/>
    </xf>
    <xf numFmtId="165" fontId="7" fillId="0" borderId="8" xfId="2" applyNumberFormat="1" applyFont="1" applyBorder="1" applyAlignment="1">
      <alignment horizontal="center"/>
    </xf>
    <xf numFmtId="165" fontId="7" fillId="0" borderId="0" xfId="4" applyNumberFormat="1" applyFont="1" applyFill="1" applyBorder="1" applyAlignment="1">
      <alignment horizontal="center"/>
    </xf>
    <xf numFmtId="164" fontId="10" fillId="3" borderId="0" xfId="2" applyNumberFormat="1" applyFont="1" applyFill="1" applyBorder="1" applyAlignment="1">
      <alignment horizontal="left"/>
    </xf>
    <xf numFmtId="164" fontId="10" fillId="0" borderId="0" xfId="2" applyNumberFormat="1" applyFont="1" applyFill="1" applyBorder="1" applyAlignment="1">
      <alignment horizontal="left"/>
    </xf>
    <xf numFmtId="165" fontId="7" fillId="0" borderId="10" xfId="2" applyNumberFormat="1" applyFont="1" applyFill="1" applyBorder="1" applyAlignment="1">
      <alignment horizontal="center"/>
    </xf>
    <xf numFmtId="164" fontId="7" fillId="0" borderId="0" xfId="2" applyNumberFormat="1" applyFont="1" applyFill="1" applyBorder="1"/>
    <xf numFmtId="165" fontId="7" fillId="0" borderId="8" xfId="2" applyNumberFormat="1" applyFont="1" applyFill="1" applyBorder="1" applyAlignment="1">
      <alignment horizontal="center"/>
    </xf>
    <xf numFmtId="165" fontId="7" fillId="0" borderId="8" xfId="2" applyNumberFormat="1" applyFont="1" applyBorder="1"/>
    <xf numFmtId="164" fontId="7" fillId="0" borderId="4" xfId="2" applyNumberFormat="1" applyFont="1" applyBorder="1" applyAlignment="1">
      <alignment horizontal="center"/>
    </xf>
    <xf numFmtId="164" fontId="7" fillId="0" borderId="0" xfId="2" applyNumberFormat="1" applyFont="1" applyBorder="1" applyAlignment="1">
      <alignment horizontal="left"/>
    </xf>
    <xf numFmtId="164" fontId="7" fillId="0" borderId="11" xfId="2" applyNumberFormat="1" applyFont="1" applyBorder="1" applyAlignment="1" applyProtection="1">
      <alignment horizontal="center"/>
      <protection locked="0"/>
    </xf>
    <xf numFmtId="165" fontId="7" fillId="0" borderId="11" xfId="2" applyNumberFormat="1" applyFont="1" applyBorder="1" applyAlignment="1" applyProtection="1">
      <alignment horizontal="center"/>
      <protection locked="0"/>
    </xf>
    <xf numFmtId="165" fontId="7" fillId="0" borderId="11" xfId="2" applyNumberFormat="1" applyFont="1" applyBorder="1" applyAlignment="1">
      <alignment horizontal="center"/>
    </xf>
    <xf numFmtId="164" fontId="9" fillId="0" borderId="0" xfId="2" applyNumberFormat="1" applyFont="1" applyAlignment="1">
      <alignment horizontal="left"/>
    </xf>
    <xf numFmtId="165" fontId="7" fillId="0" borderId="12" xfId="2" applyNumberFormat="1" applyFont="1" applyBorder="1" applyAlignment="1">
      <alignment horizontal="center"/>
    </xf>
    <xf numFmtId="164" fontId="9" fillId="0" borderId="0" xfId="2" applyNumberFormat="1" applyFont="1" applyFill="1" applyAlignment="1">
      <alignment horizontal="left"/>
    </xf>
    <xf numFmtId="165" fontId="7" fillId="0" borderId="0" xfId="2" applyNumberFormat="1" applyFont="1" applyFill="1" applyBorder="1"/>
    <xf numFmtId="164" fontId="7" fillId="0" borderId="8" xfId="2" applyNumberFormat="1" applyFont="1" applyFill="1" applyBorder="1" applyAlignment="1">
      <alignment horizontal="center"/>
    </xf>
    <xf numFmtId="164" fontId="7" fillId="0" borderId="11" xfId="2" applyNumberFormat="1" applyFont="1" applyFill="1" applyBorder="1" applyAlignment="1" applyProtection="1">
      <alignment horizontal="center"/>
      <protection locked="0"/>
    </xf>
    <xf numFmtId="164" fontId="7" fillId="0" borderId="0" xfId="2" applyNumberFormat="1" applyFont="1" applyFill="1" applyBorder="1" applyAlignment="1" applyProtection="1">
      <alignment horizontal="center"/>
      <protection locked="0"/>
    </xf>
    <xf numFmtId="165" fontId="7" fillId="0" borderId="11" xfId="2" applyNumberFormat="1" applyFont="1" applyFill="1" applyBorder="1" applyAlignment="1" applyProtection="1">
      <alignment horizontal="center"/>
      <protection locked="0"/>
    </xf>
    <xf numFmtId="164" fontId="7" fillId="0" borderId="12" xfId="2" applyNumberFormat="1" applyFont="1" applyFill="1" applyBorder="1" applyAlignment="1">
      <alignment horizontal="center"/>
    </xf>
    <xf numFmtId="165" fontId="7" fillId="0" borderId="12" xfId="2" applyNumberFormat="1" applyFont="1" applyFill="1" applyBorder="1" applyAlignment="1">
      <alignment horizontal="center"/>
    </xf>
    <xf numFmtId="164" fontId="11" fillId="0" borderId="0" xfId="2" applyNumberFormat="1" applyFont="1" applyFill="1"/>
    <xf numFmtId="164" fontId="7" fillId="0" borderId="13" xfId="2" applyNumberFormat="1" applyFont="1" applyFill="1" applyBorder="1" applyAlignment="1">
      <alignment horizontal="center"/>
    </xf>
    <xf numFmtId="165" fontId="7" fillId="0" borderId="13" xfId="2" applyNumberFormat="1" applyFont="1" applyFill="1" applyBorder="1" applyAlignment="1">
      <alignment horizontal="center"/>
    </xf>
    <xf numFmtId="164" fontId="7" fillId="0" borderId="9" xfId="2" applyNumberFormat="1" applyFont="1" applyFill="1" applyBorder="1" applyAlignment="1">
      <alignment horizontal="center"/>
    </xf>
    <xf numFmtId="165" fontId="7" fillId="0" borderId="9" xfId="2" applyNumberFormat="1" applyFont="1" applyFill="1" applyBorder="1" applyAlignment="1">
      <alignment horizontal="center"/>
    </xf>
    <xf numFmtId="165" fontId="7" fillId="0" borderId="9" xfId="2" applyNumberFormat="1" applyFont="1" applyFill="1" applyBorder="1"/>
    <xf numFmtId="165" fontId="7" fillId="0" borderId="13" xfId="2" applyNumberFormat="1" applyFont="1" applyFill="1" applyBorder="1"/>
    <xf numFmtId="165" fontId="7" fillId="0" borderId="7" xfId="4" applyNumberFormat="1" applyFont="1" applyFill="1" applyBorder="1" applyAlignment="1">
      <alignment horizontal="center"/>
    </xf>
    <xf numFmtId="165" fontId="7" fillId="0" borderId="9" xfId="2" applyNumberFormat="1" applyFont="1" applyBorder="1"/>
    <xf numFmtId="164" fontId="7" fillId="0" borderId="8" xfId="2" applyNumberFormat="1" applyFont="1" applyBorder="1" applyAlignment="1" applyProtection="1">
      <alignment horizontal="center"/>
      <protection locked="0"/>
    </xf>
    <xf numFmtId="165" fontId="7" fillId="0" borderId="8" xfId="2" applyNumberFormat="1" applyFont="1" applyBorder="1" applyAlignment="1" applyProtection="1">
      <alignment horizontal="center"/>
      <protection locked="0"/>
    </xf>
    <xf numFmtId="165" fontId="7" fillId="0" borderId="0" xfId="2" applyNumberFormat="1" applyFont="1" applyBorder="1" applyAlignment="1" applyProtection="1">
      <alignment horizontal="center"/>
      <protection locked="0"/>
    </xf>
    <xf numFmtId="165" fontId="7" fillId="0" borderId="0" xfId="1" applyNumberFormat="1" applyFont="1" applyBorder="1" applyAlignment="1">
      <alignment horizontal="center"/>
    </xf>
  </cellXfs>
  <cellStyles count="5">
    <cellStyle name="Comma_PA Budget Seminar MTFF Appendices 22 Oct 2004" xfId="4"/>
    <cellStyle name="Normal" xfId="0" builtinId="0"/>
    <cellStyle name="Normal 6" xfId="2"/>
    <cellStyle name="Normal 7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ba59\erdms_sjlg\LGF\LGF%202%20Revenue\SSA%20calculations\2007-08\Models\Copies\Copy%20of%20NF1_2007-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RA\Police\Police%20Finance\04_Police%20Allocation%20Formula\02_PFF%20Models\pff2013%20-%20WORKING%20MODEL\20121101%20PFFModel_1314_Pre%20August%20Statement_TJ%20AGREED%20WITH%20DCL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yp-infoshare/sites/kbf/Finances/Budgets/BUDGETS2/Budget%20Working%20Papers/MTFF/16-17/MTFF%20Budget%20Seminar%2012th%20Jan%20Plus%20Option%201%20version%204b%20(Jan%20start%20dat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Types"/>
      <sheetName val="UA details"/>
      <sheetName val="AccessResults"/>
      <sheetName val="CreateOutputBlock"/>
      <sheetName val="DataSummary"/>
      <sheetName val="ModDataSumm"/>
      <sheetName val="DlgDataSumm"/>
      <sheetName val=".PUPILS"/>
      <sheetName val=".FSM"/>
      <sheetName val=".SCHOOLS"/>
      <sheetName val=".KS2"/>
      <sheetName val=".POPULATION"/>
      <sheetName val=".DEATHS"/>
      <sheetName val=".TOURISM"/>
      <sheetName val=".IMD"/>
      <sheetName val=".CENSUS_DATA"/>
      <sheetName val=".SETTLEMENT"/>
      <sheetName val=".DISPERSION"/>
      <sheetName val=".ROADS"/>
      <sheetName val="UNINTENT_HOME"/>
      <sheetName val="INTENT_HOME"/>
      <sheetName val="ELIGIBLE_HOME"/>
      <sheetName val="ELIGIBLE_NOT_HOME"/>
      <sheetName val="INELIGIBLE"/>
      <sheetName val=".HOMELESSNESS"/>
      <sheetName val="HMO"/>
      <sheetName val="DFG_MANDATORY"/>
      <sheetName val="HOME_REPAIR"/>
      <sheetName val=".RENOVATION_GRANT"/>
      <sheetName val="ModValid"/>
      <sheetName val="DlgValid"/>
      <sheetName val="TabValid"/>
      <sheetName val="ModPrint"/>
      <sheetName val="Questionnair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 Sheet"/>
      <sheetName val="Version History"/>
      <sheetName val="ABC - Activity Weights"/>
      <sheetName val="Monetary Control totals"/>
      <sheetName val="Variable Data"/>
      <sheetName val="updated var data"/>
      <sheetName val="Regression Coeffs"/>
      <sheetName val="Workload - Crime"/>
      <sheetName val="Workload - Incidents"/>
      <sheetName val="Workload - FOC"/>
      <sheetName val="Workload - Traffic"/>
      <sheetName val="Workload - Special Events"/>
      <sheetName val="Sparsity Top Up"/>
      <sheetName val="Workload - Security"/>
      <sheetName val="Coeffs Step1"/>
      <sheetName val="Allocations Step1"/>
      <sheetName val="Coeffs Step2"/>
      <sheetName val="Allocations Step2"/>
      <sheetName val="Allocations_Police Grant Report"/>
      <sheetName val="Coefficients_PG Report"/>
    </sheetNames>
    <sheetDataSet>
      <sheetData sheetId="0" refreshError="1"/>
      <sheetData sheetId="1" refreshError="1"/>
      <sheetData sheetId="2" refreshError="1"/>
      <sheetData sheetId="3">
        <row r="19">
          <cell r="B19">
            <v>10000000000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 Statement "/>
      <sheetName val="Movement Statement  (2)"/>
      <sheetName val="Appendix B"/>
      <sheetName val="Appendix A"/>
      <sheetName val="People Forecast "/>
      <sheetName val="People Forecast2"/>
      <sheetName val="People Budget "/>
      <sheetName val="Savings"/>
      <sheetName val="Adjustments"/>
      <sheetName val="Appendix C"/>
      <sheetName val="Reconciliation"/>
      <sheetName val="Version Movements"/>
      <sheetName val="Funding"/>
      <sheetName val="NON DEV NON DEL "/>
      <sheetName val="DEVOLVED AND DEL INC TRAIN"/>
      <sheetName val="REGION"/>
      <sheetName val="CTU"/>
      <sheetName val="PNLD"/>
      <sheetName val="SHARED SERVICES"/>
      <sheetName val="OPCC"/>
      <sheetName val="DEV AND DEL BWP"/>
      <sheetName val="NON DEV BWP"/>
      <sheetName val="MTFF CTU"/>
      <sheetName val="MTFF Region"/>
      <sheetName val="MTFF NPAS"/>
      <sheetName val="REGION BWP"/>
      <sheetName val="NPAS"/>
      <sheetName val="NPAS BWP"/>
      <sheetName val="CTU BWP"/>
      <sheetName val="PNLD BWP"/>
      <sheetName val="SS BWP"/>
      <sheetName val="OPCC BWP"/>
      <sheetName val="Changes made in Feb 15 MTFF"/>
      <sheetName val="Movement Statement  "/>
      <sheetName val="Reserves Strategy"/>
      <sheetName val="ORG CHANGE"/>
      <sheetName val="MTFF  Combined"/>
      <sheetName val="MTFF SUMMARY"/>
      <sheetName val="People Forecast  Cumulative"/>
      <sheetName val="Changes in this version"/>
      <sheetName val="Staff Movement Forecast"/>
      <sheetName val="Savings Pay Nos Rec"/>
      <sheetName val="PFI Movements"/>
      <sheetName val="Original Budget on Sun"/>
      <sheetName val="Regional Movement"/>
      <sheetName val="Debt Charges"/>
      <sheetName val="Growth Analysis"/>
      <sheetName val="SP"/>
      <sheetName val="2013-14 workings"/>
      <sheetName val="2014-15 work NEW (2)"/>
      <sheetName val="2012-13 workings"/>
      <sheetName val="Final Alloc"/>
      <sheetName val="Reconciliation to Fin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Subjective decription</v>
          </cell>
          <cell r="E1" t="str">
            <v>2017/18</v>
          </cell>
          <cell r="F1" t="str">
            <v>2018/19</v>
          </cell>
          <cell r="G1" t="str">
            <v>2019/20</v>
          </cell>
          <cell r="H1" t="str">
            <v>2020/21</v>
          </cell>
        </row>
        <row r="2">
          <cell r="B2" t="str">
            <v>Police Pay</v>
          </cell>
          <cell r="E2">
            <v>-11678.64</v>
          </cell>
          <cell r="F2">
            <v>-14029.041400000002</v>
          </cell>
          <cell r="G2">
            <v>-14091.885822000002</v>
          </cell>
        </row>
        <row r="3">
          <cell r="B3" t="str">
            <v>Police Staff Pay and Allowances</v>
          </cell>
          <cell r="E3">
            <v>0</v>
          </cell>
          <cell r="F3">
            <v>1523.8375000000001</v>
          </cell>
          <cell r="G3">
            <v>6.3125</v>
          </cell>
        </row>
        <row r="4">
          <cell r="B4" t="str">
            <v>Police Staff Pay and Allowances</v>
          </cell>
          <cell r="E4">
            <v>0</v>
          </cell>
          <cell r="F4">
            <v>0</v>
          </cell>
          <cell r="G4">
            <v>0</v>
          </cell>
        </row>
        <row r="5">
          <cell r="B5" t="str">
            <v>Income</v>
          </cell>
          <cell r="E5">
            <v>-1000</v>
          </cell>
          <cell r="F5">
            <v>-1000</v>
          </cell>
        </row>
        <row r="6">
          <cell r="B6" t="str">
            <v>RENT AND RATES</v>
          </cell>
          <cell r="E6">
            <v>-1000</v>
          </cell>
          <cell r="F6">
            <v>-1220</v>
          </cell>
        </row>
        <row r="7">
          <cell r="B7" t="str">
            <v>Police Pay</v>
          </cell>
          <cell r="E7">
            <v>-399.90600000000001</v>
          </cell>
        </row>
        <row r="8">
          <cell r="B8" t="str">
            <v>Police Pay</v>
          </cell>
          <cell r="F8">
            <v>-189.81200000000001</v>
          </cell>
        </row>
        <row r="9">
          <cell r="B9" t="str">
            <v>Police Pay</v>
          </cell>
          <cell r="E9">
            <v>-506.67500000000001</v>
          </cell>
        </row>
        <row r="10">
          <cell r="B10" t="str">
            <v>Police Staff Pay and Allowances</v>
          </cell>
          <cell r="E10">
            <v>323.649</v>
          </cell>
        </row>
        <row r="11">
          <cell r="B11" t="str">
            <v>Police Pay</v>
          </cell>
          <cell r="E11">
            <v>-732.06100000000004</v>
          </cell>
        </row>
        <row r="12">
          <cell r="B12" t="str">
            <v>Police Staff Pay and Allowances</v>
          </cell>
          <cell r="E12">
            <v>472.07600000000002</v>
          </cell>
        </row>
        <row r="13">
          <cell r="B13" t="str">
            <v xml:space="preserve">ORGANISATIONAL CHANGE </v>
          </cell>
          <cell r="E13">
            <v>-1500</v>
          </cell>
        </row>
        <row r="14">
          <cell r="B14" t="str">
            <v>COMPUTERS AND COMMUNICATIONS</v>
          </cell>
          <cell r="F14">
            <v>-25.2</v>
          </cell>
        </row>
      </sheetData>
      <sheetData sheetId="8">
        <row r="1">
          <cell r="B1" t="str">
            <v>Subjective decription</v>
          </cell>
          <cell r="E1" t="str">
            <v>2017/18</v>
          </cell>
          <cell r="F1" t="str">
            <v>2018/19</v>
          </cell>
          <cell r="G1" t="str">
            <v>2019/20</v>
          </cell>
          <cell r="H1" t="str">
            <v>2020/21</v>
          </cell>
        </row>
        <row r="2">
          <cell r="B2" t="str">
            <v>Police Pay</v>
          </cell>
          <cell r="E2">
            <v>10581.945458333334</v>
          </cell>
          <cell r="F2">
            <v>14905.4041375</v>
          </cell>
          <cell r="G2">
            <v>10512.114819024999</v>
          </cell>
        </row>
        <row r="3">
          <cell r="B3" t="str">
            <v>Police Pay</v>
          </cell>
        </row>
        <row r="4">
          <cell r="B4" t="str">
            <v>Police Pay</v>
          </cell>
          <cell r="E4">
            <v>60</v>
          </cell>
        </row>
        <row r="5">
          <cell r="B5" t="str">
            <v>Police Staff Pay and Allowances</v>
          </cell>
          <cell r="E5">
            <v>1700</v>
          </cell>
        </row>
        <row r="6">
          <cell r="B6" t="str">
            <v>External Support</v>
          </cell>
        </row>
        <row r="7">
          <cell r="B7" t="str">
            <v>COMPUTERS AND COMMUNICATIONS</v>
          </cell>
          <cell r="E7">
            <v>81</v>
          </cell>
          <cell r="F7">
            <v>124</v>
          </cell>
        </row>
        <row r="8">
          <cell r="B8" t="str">
            <v>BUILDINGS MAINTENANCE</v>
          </cell>
          <cell r="G8">
            <v>225</v>
          </cell>
          <cell r="H8">
            <v>-225</v>
          </cell>
        </row>
        <row r="9">
          <cell r="B9" t="str">
            <v>CONSULTANCY</v>
          </cell>
          <cell r="G9">
            <v>537</v>
          </cell>
          <cell r="H9">
            <v>-537</v>
          </cell>
        </row>
        <row r="10">
          <cell r="B10" t="str">
            <v>Police Pay</v>
          </cell>
          <cell r="E10">
            <v>-1760</v>
          </cell>
        </row>
        <row r="11">
          <cell r="B11" t="str">
            <v>Police Staff Pay and Allowances</v>
          </cell>
          <cell r="E11">
            <v>-382.16399999999999</v>
          </cell>
        </row>
        <row r="12">
          <cell r="B12" t="str">
            <v>Police Staff Overtime</v>
          </cell>
          <cell r="E12">
            <v>-20</v>
          </cell>
        </row>
        <row r="13">
          <cell r="B13" t="str">
            <v>Forensic</v>
          </cell>
          <cell r="E13">
            <v>-50</v>
          </cell>
        </row>
        <row r="14">
          <cell r="B14" t="str">
            <v>CAR ALLOWANCES &amp; TRAVEL EXPENSES</v>
          </cell>
          <cell r="E14">
            <v>-20</v>
          </cell>
        </row>
        <row r="15">
          <cell r="B15" t="str">
            <v>DIRECT REVENUE SUPPORT</v>
          </cell>
        </row>
        <row r="16">
          <cell r="B16" t="str">
            <v>External Support</v>
          </cell>
        </row>
        <row r="17">
          <cell r="B17" t="str">
            <v>Police Pay</v>
          </cell>
          <cell r="E17">
            <v>4500</v>
          </cell>
        </row>
        <row r="18">
          <cell r="B18" t="str">
            <v>Income</v>
          </cell>
          <cell r="E18">
            <v>461.85899999999998</v>
          </cell>
        </row>
        <row r="19">
          <cell r="B19" t="str">
            <v>Police Pay</v>
          </cell>
          <cell r="E19">
            <v>3000</v>
          </cell>
          <cell r="F19">
            <v>3000</v>
          </cell>
          <cell r="G19">
            <v>3000</v>
          </cell>
        </row>
        <row r="20">
          <cell r="B20" t="str">
            <v>Police Staff Pay and Allowances</v>
          </cell>
          <cell r="E20">
            <v>800</v>
          </cell>
          <cell r="F20">
            <v>800</v>
          </cell>
          <cell r="G20">
            <v>800</v>
          </cell>
        </row>
        <row r="21">
          <cell r="B21" t="str">
            <v>Police Overtime</v>
          </cell>
          <cell r="E21">
            <v>1200</v>
          </cell>
          <cell r="F21">
            <v>-800</v>
          </cell>
          <cell r="G21">
            <v>-800</v>
          </cell>
        </row>
        <row r="22">
          <cell r="B22" t="str">
            <v>DIRECT REVENUE SUPPORT</v>
          </cell>
          <cell r="E22">
            <v>-6554</v>
          </cell>
        </row>
        <row r="23">
          <cell r="B23" t="str">
            <v>Other ND</v>
          </cell>
          <cell r="E23">
            <v>6554.357</v>
          </cell>
        </row>
      </sheetData>
      <sheetData sheetId="9"/>
      <sheetData sheetId="10"/>
      <sheetData sheetId="11"/>
      <sheetData sheetId="12">
        <row r="64">
          <cell r="I64">
            <v>317493</v>
          </cell>
          <cell r="J64">
            <v>315989</v>
          </cell>
          <cell r="K64">
            <v>314492.52</v>
          </cell>
          <cell r="L64">
            <v>313003.52240000002</v>
          </cell>
        </row>
        <row r="67">
          <cell r="I67">
            <v>90199</v>
          </cell>
          <cell r="J67">
            <v>92914.075261282473</v>
          </cell>
          <cell r="K67">
            <v>95710.696012571818</v>
          </cell>
          <cell r="L67">
            <v>98591.49225185423</v>
          </cell>
          <cell r="M67">
            <v>101568.95531786022</v>
          </cell>
        </row>
        <row r="84">
          <cell r="I84">
            <v>1129.3989999999999</v>
          </cell>
        </row>
      </sheetData>
      <sheetData sheetId="13">
        <row r="2">
          <cell r="J2" t="str">
            <v>Revised estimate 2016-17</v>
          </cell>
        </row>
        <row r="4">
          <cell r="A4" t="str">
            <v>OTHER ND</v>
          </cell>
          <cell r="J4">
            <v>800000</v>
          </cell>
        </row>
        <row r="5">
          <cell r="A5" t="str">
            <v>OTHER ND</v>
          </cell>
          <cell r="J5">
            <v>1020</v>
          </cell>
          <cell r="S5">
            <v>-1020</v>
          </cell>
        </row>
        <row r="6">
          <cell r="A6" t="str">
            <v>OTHER ND</v>
          </cell>
          <cell r="J6">
            <v>18360</v>
          </cell>
          <cell r="S6">
            <v>-18360</v>
          </cell>
        </row>
        <row r="7">
          <cell r="A7" t="str">
            <v>OTHER ND</v>
          </cell>
          <cell r="J7">
            <v>200000</v>
          </cell>
        </row>
        <row r="8">
          <cell r="A8" t="str">
            <v>OTHER ND</v>
          </cell>
          <cell r="J8">
            <v>27540</v>
          </cell>
        </row>
        <row r="9">
          <cell r="A9" t="str">
            <v>OTHER ND</v>
          </cell>
          <cell r="J9">
            <v>5100</v>
          </cell>
          <cell r="S9">
            <v>4440</v>
          </cell>
        </row>
        <row r="10">
          <cell r="A10" t="str">
            <v>OTHER ND</v>
          </cell>
          <cell r="J10">
            <v>2040</v>
          </cell>
          <cell r="S10">
            <v>-2040</v>
          </cell>
        </row>
        <row r="11">
          <cell r="A11" t="str">
            <v>UNFUNDED PENSION COSTS</v>
          </cell>
          <cell r="J11">
            <v>212160</v>
          </cell>
        </row>
        <row r="12">
          <cell r="A12" t="str">
            <v>INSURANCE</v>
          </cell>
          <cell r="J12">
            <v>1382850</v>
          </cell>
          <cell r="S12">
            <v>48400</v>
          </cell>
        </row>
        <row r="13">
          <cell r="A13" t="str">
            <v>INSURANCE</v>
          </cell>
          <cell r="J13">
            <v>92820</v>
          </cell>
          <cell r="S13">
            <v>1478</v>
          </cell>
        </row>
        <row r="14">
          <cell r="A14" t="str">
            <v>INSURANCE</v>
          </cell>
          <cell r="J14">
            <v>150960</v>
          </cell>
          <cell r="S14">
            <v>-22203</v>
          </cell>
        </row>
        <row r="15">
          <cell r="A15" t="str">
            <v>INSURANCE</v>
          </cell>
          <cell r="J15">
            <v>10200</v>
          </cell>
          <cell r="S15">
            <v>-7920</v>
          </cell>
        </row>
        <row r="16">
          <cell r="A16" t="str">
            <v>INSURANCE</v>
          </cell>
          <cell r="J16">
            <v>0</v>
          </cell>
        </row>
        <row r="17">
          <cell r="A17" t="str">
            <v>INSURANCE</v>
          </cell>
          <cell r="J17">
            <v>16320</v>
          </cell>
          <cell r="S17">
            <v>1780</v>
          </cell>
        </row>
        <row r="18">
          <cell r="A18" t="str">
            <v>INSURANCE</v>
          </cell>
          <cell r="J18">
            <v>1020</v>
          </cell>
          <cell r="S18">
            <v>2310</v>
          </cell>
        </row>
        <row r="19">
          <cell r="J19">
            <v>0</v>
          </cell>
        </row>
        <row r="20">
          <cell r="J20">
            <v>2920390</v>
          </cell>
        </row>
        <row r="21">
          <cell r="J21">
            <v>0</v>
          </cell>
        </row>
        <row r="22">
          <cell r="A22" t="str">
            <v>INSURANCE</v>
          </cell>
          <cell r="J22">
            <v>134640</v>
          </cell>
          <cell r="S22">
            <v>22240</v>
          </cell>
        </row>
        <row r="23">
          <cell r="J23">
            <v>0</v>
          </cell>
        </row>
        <row r="24">
          <cell r="J24">
            <v>134640</v>
          </cell>
        </row>
        <row r="25">
          <cell r="J25">
            <v>0</v>
          </cell>
        </row>
        <row r="26">
          <cell r="A26" t="str">
            <v>OTHER ND</v>
          </cell>
          <cell r="J26">
            <v>10200</v>
          </cell>
          <cell r="S26">
            <v>21800</v>
          </cell>
        </row>
        <row r="27">
          <cell r="A27" t="str">
            <v>OTHER ND</v>
          </cell>
          <cell r="J27">
            <v>6120</v>
          </cell>
        </row>
        <row r="28">
          <cell r="A28" t="str">
            <v>OTHER ND</v>
          </cell>
          <cell r="J28">
            <v>11220</v>
          </cell>
          <cell r="S28">
            <v>-11220</v>
          </cell>
        </row>
        <row r="29">
          <cell r="A29" t="str">
            <v>OTHER ND</v>
          </cell>
          <cell r="J29">
            <v>5000</v>
          </cell>
          <cell r="S29">
            <v>-4000</v>
          </cell>
        </row>
        <row r="30">
          <cell r="A30" t="str">
            <v>OTHER ND</v>
          </cell>
          <cell r="J30">
            <v>91800</v>
          </cell>
          <cell r="S30">
            <v>-62800</v>
          </cell>
        </row>
        <row r="31">
          <cell r="A31" t="str">
            <v>NATIONAL IT SYSTEMS</v>
          </cell>
          <cell r="J31">
            <v>2740100</v>
          </cell>
        </row>
        <row r="32">
          <cell r="A32" t="str">
            <v>WITNESS ALLOWANCES</v>
          </cell>
          <cell r="J32">
            <v>837420</v>
          </cell>
          <cell r="S32">
            <v>-500</v>
          </cell>
        </row>
        <row r="33">
          <cell r="A33" t="str">
            <v>PRISONER MEALS</v>
          </cell>
          <cell r="J33">
            <v>140760</v>
          </cell>
          <cell r="S33">
            <v>-40260</v>
          </cell>
        </row>
        <row r="34">
          <cell r="A34" t="str">
            <v>OTHER ND</v>
          </cell>
          <cell r="J34">
            <v>220320</v>
          </cell>
          <cell r="S34">
            <v>109680</v>
          </cell>
        </row>
        <row r="35">
          <cell r="A35" t="str">
            <v>OTHER ND</v>
          </cell>
          <cell r="J35">
            <v>5100</v>
          </cell>
          <cell r="S35">
            <v>-1920</v>
          </cell>
        </row>
        <row r="36">
          <cell r="A36" t="str">
            <v>OTHER ND</v>
          </cell>
          <cell r="J36">
            <v>2040</v>
          </cell>
          <cell r="S36">
            <v>-2040</v>
          </cell>
        </row>
        <row r="37">
          <cell r="A37" t="str">
            <v>OTHER ND</v>
          </cell>
          <cell r="J37">
            <v>2040</v>
          </cell>
          <cell r="S37">
            <v>960</v>
          </cell>
        </row>
        <row r="38">
          <cell r="A38" t="str">
            <v>OTHER ND</v>
          </cell>
          <cell r="J38">
            <v>136680</v>
          </cell>
        </row>
        <row r="39">
          <cell r="A39" t="str">
            <v>OTHER ND</v>
          </cell>
          <cell r="J39">
            <v>1020</v>
          </cell>
          <cell r="S39">
            <v>-1020</v>
          </cell>
        </row>
        <row r="40">
          <cell r="A40" t="str">
            <v>OTHER ND</v>
          </cell>
          <cell r="J40">
            <v>52500</v>
          </cell>
          <cell r="S40">
            <v>-38100</v>
          </cell>
        </row>
        <row r="41">
          <cell r="A41" t="str">
            <v>OTHER ND</v>
          </cell>
          <cell r="J41">
            <v>130729</v>
          </cell>
        </row>
        <row r="42">
          <cell r="A42" t="str">
            <v>OTHER ND</v>
          </cell>
          <cell r="J42">
            <v>161000</v>
          </cell>
          <cell r="S42">
            <v>-15435</v>
          </cell>
        </row>
        <row r="43">
          <cell r="A43" t="str">
            <v>OTHER ND</v>
          </cell>
          <cell r="J43">
            <v>80579</v>
          </cell>
          <cell r="S43">
            <v>-80579</v>
          </cell>
        </row>
        <row r="44">
          <cell r="A44" t="str">
            <v>OTHER ND</v>
          </cell>
          <cell r="J44">
            <v>16320</v>
          </cell>
          <cell r="S44">
            <v>-11320</v>
          </cell>
        </row>
        <row r="45">
          <cell r="A45" t="str">
            <v>OTHER ND</v>
          </cell>
          <cell r="J45">
            <v>47940</v>
          </cell>
          <cell r="S45">
            <v>-39940</v>
          </cell>
        </row>
        <row r="46">
          <cell r="A46" t="str">
            <v>OTHER ND</v>
          </cell>
          <cell r="J46">
            <v>1020</v>
          </cell>
        </row>
        <row r="47">
          <cell r="A47" t="str">
            <v>OTHER ND</v>
          </cell>
          <cell r="J47">
            <v>16320</v>
          </cell>
          <cell r="S47">
            <v>-16320</v>
          </cell>
        </row>
        <row r="48">
          <cell r="A48" t="str">
            <v>OTHER ND</v>
          </cell>
          <cell r="J48">
            <v>4080</v>
          </cell>
          <cell r="S48">
            <v>420</v>
          </cell>
        </row>
        <row r="49">
          <cell r="A49" t="str">
            <v>OTHER ND</v>
          </cell>
          <cell r="J49">
            <v>5100</v>
          </cell>
          <cell r="S49">
            <v>-2400</v>
          </cell>
        </row>
        <row r="50">
          <cell r="J50">
            <v>0</v>
          </cell>
        </row>
        <row r="51">
          <cell r="J51">
            <v>4725408</v>
          </cell>
        </row>
        <row r="52">
          <cell r="A52" t="str">
            <v>OTHER ND</v>
          </cell>
          <cell r="J52">
            <v>198900</v>
          </cell>
          <cell r="S52">
            <v>-129240</v>
          </cell>
        </row>
        <row r="53">
          <cell r="A53" t="str">
            <v>OTHER ND</v>
          </cell>
          <cell r="J53">
            <v>0</v>
          </cell>
        </row>
        <row r="54">
          <cell r="J54">
            <v>0</v>
          </cell>
        </row>
        <row r="55">
          <cell r="J55">
            <v>198900</v>
          </cell>
        </row>
        <row r="56">
          <cell r="J56">
            <v>0</v>
          </cell>
        </row>
        <row r="57">
          <cell r="J57">
            <v>0</v>
          </cell>
        </row>
        <row r="58">
          <cell r="A58" t="str">
            <v>OTHER ND</v>
          </cell>
          <cell r="J58">
            <v>0</v>
          </cell>
        </row>
        <row r="59">
          <cell r="A59" t="str">
            <v>OTHER ND</v>
          </cell>
          <cell r="J59">
            <v>4114000</v>
          </cell>
          <cell r="S59">
            <v>-3117000</v>
          </cell>
        </row>
        <row r="60">
          <cell r="A60" t="str">
            <v>OTHER ND</v>
          </cell>
          <cell r="J60">
            <v>7557424</v>
          </cell>
          <cell r="N60">
            <v>-534067</v>
          </cell>
          <cell r="O60">
            <v>-6554000</v>
          </cell>
          <cell r="R60">
            <v>662000</v>
          </cell>
          <cell r="S60">
            <v>-404000</v>
          </cell>
        </row>
        <row r="61">
          <cell r="A61" t="str">
            <v>OTHER ND</v>
          </cell>
          <cell r="J61">
            <v>2129000</v>
          </cell>
          <cell r="R61">
            <v>-39052</v>
          </cell>
          <cell r="S61">
            <v>-2089948</v>
          </cell>
        </row>
        <row r="62">
          <cell r="A62" t="str">
            <v>OTHER ND</v>
          </cell>
          <cell r="J62">
            <v>0</v>
          </cell>
        </row>
        <row r="63">
          <cell r="A63" t="str">
            <v xml:space="preserve">ORGANISATIONAL CHANGE </v>
          </cell>
          <cell r="J63">
            <v>1500000</v>
          </cell>
          <cell r="S63">
            <v>0</v>
          </cell>
        </row>
        <row r="64">
          <cell r="J64">
            <v>15300424</v>
          </cell>
        </row>
        <row r="65">
          <cell r="J65">
            <v>0</v>
          </cell>
        </row>
        <row r="66">
          <cell r="J66">
            <v>0</v>
          </cell>
        </row>
        <row r="67">
          <cell r="A67" t="str">
            <v>DEBT CHARGES</v>
          </cell>
          <cell r="J67">
            <v>3968000</v>
          </cell>
        </row>
        <row r="68">
          <cell r="A68" t="str">
            <v>DEBT CHARGES</v>
          </cell>
          <cell r="J68">
            <v>3913000</v>
          </cell>
        </row>
        <row r="69">
          <cell r="A69" t="str">
            <v>DEBT CHARGES</v>
          </cell>
          <cell r="J69">
            <v>0</v>
          </cell>
        </row>
        <row r="70">
          <cell r="A70" t="str">
            <v>DIRECT REVENUE SUPPORT</v>
          </cell>
          <cell r="J70">
            <v>1179000</v>
          </cell>
          <cell r="O70">
            <v>6554000</v>
          </cell>
          <cell r="S70">
            <v>-179000</v>
          </cell>
        </row>
        <row r="71">
          <cell r="A71" t="str">
            <v>DEBT CHARGES</v>
          </cell>
          <cell r="J71">
            <v>12000</v>
          </cell>
          <cell r="S71">
            <v>-7000</v>
          </cell>
        </row>
        <row r="72">
          <cell r="J72">
            <v>0</v>
          </cell>
        </row>
        <row r="73">
          <cell r="J73">
            <v>9072000</v>
          </cell>
        </row>
        <row r="74">
          <cell r="J74">
            <v>0</v>
          </cell>
        </row>
        <row r="75">
          <cell r="J75">
            <v>0</v>
          </cell>
        </row>
        <row r="76">
          <cell r="A76" t="str">
            <v>INCOME ND</v>
          </cell>
          <cell r="J76">
            <v>-400970</v>
          </cell>
          <cell r="S76">
            <v>115970</v>
          </cell>
        </row>
        <row r="77">
          <cell r="A77" t="str">
            <v>INCOME ND</v>
          </cell>
          <cell r="J77">
            <v>-31310</v>
          </cell>
          <cell r="S77">
            <v>31310</v>
          </cell>
        </row>
        <row r="78">
          <cell r="A78" t="str">
            <v>INCOME ND</v>
          </cell>
          <cell r="J78">
            <v>-162610</v>
          </cell>
        </row>
        <row r="79">
          <cell r="A79" t="str">
            <v>INCOME ND</v>
          </cell>
          <cell r="J79">
            <v>-93930</v>
          </cell>
        </row>
        <row r="80">
          <cell r="A80" t="str">
            <v>INCOME ND</v>
          </cell>
          <cell r="J80">
            <v>-2040</v>
          </cell>
        </row>
        <row r="81">
          <cell r="A81" t="str">
            <v>INCOME ND</v>
          </cell>
          <cell r="J81">
            <v>-8160</v>
          </cell>
        </row>
        <row r="82">
          <cell r="A82" t="str">
            <v>INCOME ND</v>
          </cell>
          <cell r="J82">
            <v>-966570</v>
          </cell>
          <cell r="S82">
            <v>-33430</v>
          </cell>
        </row>
        <row r="83">
          <cell r="A83" t="str">
            <v>INCOME ND</v>
          </cell>
          <cell r="J83">
            <v>-4080</v>
          </cell>
          <cell r="S83">
            <v>4080</v>
          </cell>
        </row>
        <row r="84">
          <cell r="A84" t="str">
            <v>INCOME ND</v>
          </cell>
          <cell r="J84">
            <v>-7140</v>
          </cell>
        </row>
        <row r="85">
          <cell r="A85" t="str">
            <v>INCOME ND</v>
          </cell>
          <cell r="J85">
            <v>-8160</v>
          </cell>
          <cell r="S85">
            <v>8160</v>
          </cell>
        </row>
        <row r="86">
          <cell r="A86" t="str">
            <v>INCOME ND</v>
          </cell>
          <cell r="J86">
            <v>-15300</v>
          </cell>
        </row>
        <row r="87">
          <cell r="A87" t="str">
            <v>INCOME ND</v>
          </cell>
          <cell r="J87">
            <v>-31310</v>
          </cell>
          <cell r="S87">
            <v>31310</v>
          </cell>
        </row>
        <row r="88">
          <cell r="A88" t="str">
            <v>INCOME ND</v>
          </cell>
          <cell r="J88">
            <v>-40400</v>
          </cell>
          <cell r="S88">
            <v>-26800</v>
          </cell>
        </row>
        <row r="89">
          <cell r="A89" t="str">
            <v>INCOME ND</v>
          </cell>
          <cell r="J89">
            <v>-174730</v>
          </cell>
          <cell r="S89">
            <v>-17270</v>
          </cell>
        </row>
        <row r="90">
          <cell r="A90" t="str">
            <v>INCOME ND</v>
          </cell>
          <cell r="J90">
            <v>-10100</v>
          </cell>
          <cell r="S90">
            <v>-13500</v>
          </cell>
        </row>
        <row r="91">
          <cell r="A91" t="str">
            <v>INCOME ND</v>
          </cell>
          <cell r="J91">
            <v>-6060</v>
          </cell>
        </row>
        <row r="92">
          <cell r="A92" t="str">
            <v>INCOME ND</v>
          </cell>
          <cell r="J92">
            <v>-373700</v>
          </cell>
          <cell r="S92">
            <v>373700</v>
          </cell>
        </row>
        <row r="93">
          <cell r="A93" t="str">
            <v>INCOME ND</v>
          </cell>
          <cell r="J93">
            <v>-803960</v>
          </cell>
          <cell r="S93">
            <v>-52890</v>
          </cell>
        </row>
        <row r="94">
          <cell r="A94" t="str">
            <v>INCOME ND</v>
          </cell>
          <cell r="J94">
            <v>-39390</v>
          </cell>
          <cell r="S94">
            <v>34390</v>
          </cell>
        </row>
        <row r="95">
          <cell r="A95" t="str">
            <v>INCOME ND</v>
          </cell>
          <cell r="J95">
            <v>-71710</v>
          </cell>
          <cell r="S95">
            <v>-88290</v>
          </cell>
        </row>
        <row r="96">
          <cell r="A96" t="str">
            <v>INCOME ND</v>
          </cell>
          <cell r="J96">
            <v>-424200</v>
          </cell>
          <cell r="S96">
            <v>-84840</v>
          </cell>
        </row>
        <row r="97">
          <cell r="A97" t="str">
            <v>INCOME ND</v>
          </cell>
          <cell r="J97">
            <v>-2020</v>
          </cell>
        </row>
        <row r="98">
          <cell r="A98" t="str">
            <v>INCOME ND</v>
          </cell>
          <cell r="J98">
            <v>-230000</v>
          </cell>
        </row>
        <row r="99">
          <cell r="A99" t="str">
            <v>INCOME ND</v>
          </cell>
          <cell r="J99">
            <v>0</v>
          </cell>
          <cell r="S99">
            <v>-557120</v>
          </cell>
        </row>
        <row r="100">
          <cell r="A100" t="str">
            <v>INCOME ND</v>
          </cell>
          <cell r="J100">
            <v>-472000</v>
          </cell>
          <cell r="S100">
            <v>472000</v>
          </cell>
        </row>
        <row r="101">
          <cell r="A101" t="str">
            <v>INCOME ND</v>
          </cell>
          <cell r="J101">
            <v>-495000</v>
          </cell>
        </row>
        <row r="102">
          <cell r="A102" t="str">
            <v>INCOME ND</v>
          </cell>
          <cell r="J102">
            <v>-33000</v>
          </cell>
        </row>
        <row r="103">
          <cell r="A103" t="str">
            <v>INCOME ND</v>
          </cell>
          <cell r="J103">
            <v>0</v>
          </cell>
        </row>
        <row r="104">
          <cell r="A104" t="str">
            <v>ADJUSTMENT - VEHICLE FLEET FINANCING</v>
          </cell>
          <cell r="J104">
            <v>0</v>
          </cell>
        </row>
        <row r="105">
          <cell r="J105">
            <v>-4907850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27443912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A113" t="str">
            <v>PENSIONS</v>
          </cell>
          <cell r="J113">
            <v>5031273</v>
          </cell>
        </row>
        <row r="114">
          <cell r="A114" t="str">
            <v>PENSIONS</v>
          </cell>
          <cell r="J114">
            <v>2575939</v>
          </cell>
        </row>
        <row r="115">
          <cell r="A115" t="str">
            <v>PENSIONS</v>
          </cell>
          <cell r="J115">
            <v>36360</v>
          </cell>
        </row>
        <row r="116">
          <cell r="A116" t="str">
            <v>PENSIONS</v>
          </cell>
          <cell r="J116">
            <v>309060</v>
          </cell>
        </row>
        <row r="117">
          <cell r="A117" t="str">
            <v>PENSIONS</v>
          </cell>
          <cell r="J117">
            <v>42000</v>
          </cell>
        </row>
        <row r="118">
          <cell r="J118">
            <v>7994632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-359420</v>
          </cell>
        </row>
        <row r="122">
          <cell r="J122">
            <v>35438544</v>
          </cell>
        </row>
        <row r="124">
          <cell r="J124" t="str">
            <v xml:space="preserve"> </v>
          </cell>
        </row>
        <row r="125">
          <cell r="J125" t="str">
            <v xml:space="preserve"> </v>
          </cell>
        </row>
      </sheetData>
      <sheetData sheetId="14">
        <row r="2">
          <cell r="AA2" t="str">
            <v>Total</v>
          </cell>
        </row>
        <row r="5">
          <cell r="B5" t="str">
            <v>Police Pay</v>
          </cell>
          <cell r="AA5">
            <v>7500</v>
          </cell>
        </row>
        <row r="6">
          <cell r="B6" t="str">
            <v>Police Pay</v>
          </cell>
          <cell r="AA6">
            <v>124923</v>
          </cell>
        </row>
        <row r="7">
          <cell r="B7" t="str">
            <v>Police Pay</v>
          </cell>
          <cell r="I7">
            <v>230400</v>
          </cell>
          <cell r="J7">
            <v>33600</v>
          </cell>
          <cell r="K7">
            <v>24000</v>
          </cell>
          <cell r="N7">
            <v>932167.39900000009</v>
          </cell>
          <cell r="O7">
            <v>3064718</v>
          </cell>
          <cell r="P7">
            <v>6345000</v>
          </cell>
          <cell r="R7">
            <v>-6057889</v>
          </cell>
          <cell r="S7">
            <v>-4500000</v>
          </cell>
          <cell r="T7">
            <v>-1140642.2</v>
          </cell>
          <cell r="U7">
            <v>-2173670</v>
          </cell>
          <cell r="W7">
            <v>1310690.8497608334</v>
          </cell>
          <cell r="AA7">
            <v>223432175.76000002</v>
          </cell>
        </row>
        <row r="8">
          <cell r="B8" t="str">
            <v>Police Pay</v>
          </cell>
          <cell r="AA8">
            <v>9795.2000000000007</v>
          </cell>
        </row>
        <row r="9">
          <cell r="G9">
            <v>-2336.4</v>
          </cell>
          <cell r="H9">
            <v>744.58</v>
          </cell>
          <cell r="I9">
            <v>230400</v>
          </cell>
          <cell r="J9">
            <v>33600</v>
          </cell>
          <cell r="K9">
            <v>24000</v>
          </cell>
          <cell r="N9">
            <v>932167.39900000009</v>
          </cell>
          <cell r="O9">
            <v>3064718</v>
          </cell>
          <cell r="P9">
            <v>6345000</v>
          </cell>
          <cell r="R9">
            <v>-6057889</v>
          </cell>
          <cell r="S9">
            <v>-4500000</v>
          </cell>
          <cell r="T9">
            <v>-1140642.2</v>
          </cell>
          <cell r="U9">
            <v>-2173670</v>
          </cell>
          <cell r="W9">
            <v>1310690.8497608334</v>
          </cell>
          <cell r="AA9">
            <v>223574393.96000001</v>
          </cell>
        </row>
        <row r="10">
          <cell r="B10" t="str">
            <v>Police Overtime</v>
          </cell>
          <cell r="AA10">
            <v>4391031.1000000006</v>
          </cell>
        </row>
        <row r="11">
          <cell r="B11" t="str">
            <v>Police Overtime</v>
          </cell>
          <cell r="AA11">
            <v>0</v>
          </cell>
        </row>
        <row r="12">
          <cell r="G12">
            <v>2336.4</v>
          </cell>
          <cell r="H12">
            <v>24070.28</v>
          </cell>
          <cell r="I12">
            <v>12648</v>
          </cell>
          <cell r="K12">
            <v>0</v>
          </cell>
          <cell r="N12">
            <v>18458.690750000005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W12">
            <v>25949.842746041675</v>
          </cell>
          <cell r="AA12">
            <v>4391031.1000000006</v>
          </cell>
        </row>
        <row r="13">
          <cell r="B13" t="str">
            <v>Police Overtime</v>
          </cell>
          <cell r="AA13">
            <v>2821819</v>
          </cell>
        </row>
        <row r="14">
          <cell r="B14" t="str">
            <v>Police Overtime</v>
          </cell>
          <cell r="AA14">
            <v>0</v>
          </cell>
        </row>
        <row r="15">
          <cell r="G15">
            <v>0</v>
          </cell>
          <cell r="H15">
            <v>14237.2</v>
          </cell>
          <cell r="I15">
            <v>-22000</v>
          </cell>
          <cell r="K15">
            <v>0</v>
          </cell>
          <cell r="N15">
            <v>11725.234166666667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-1152467</v>
          </cell>
          <cell r="W15">
            <v>9761.0008659722243</v>
          </cell>
          <cell r="AA15">
            <v>2821819</v>
          </cell>
        </row>
        <row r="16">
          <cell r="AA16">
            <v>0</v>
          </cell>
        </row>
        <row r="17">
          <cell r="B17" t="str">
            <v>SUPPORT STAFF PAY AND ALLOWANCES</v>
          </cell>
          <cell r="AA17">
            <v>0</v>
          </cell>
        </row>
        <row r="18">
          <cell r="B18" t="str">
            <v>SUPPORT STAFF PAY AND ALLOWANCES</v>
          </cell>
          <cell r="AA18">
            <v>-4453732.0599999996</v>
          </cell>
        </row>
        <row r="19">
          <cell r="B19" t="str">
            <v>SUPPORT STAFF PAY AND ALLOWANCES</v>
          </cell>
          <cell r="AA19">
            <v>93792527.159999996</v>
          </cell>
        </row>
        <row r="20">
          <cell r="B20" t="str">
            <v>SUPPORT STAFF PAY AND ALLOWANCES</v>
          </cell>
          <cell r="AA20">
            <v>311188</v>
          </cell>
        </row>
        <row r="21">
          <cell r="B21" t="str">
            <v>SUPPORT STAFF PAY AND ALLOWANCES</v>
          </cell>
          <cell r="AA21">
            <v>2000</v>
          </cell>
        </row>
        <row r="22">
          <cell r="B22" t="str">
            <v>SUPPORT STAFF PAY AND ALLOWANCES</v>
          </cell>
          <cell r="AA22">
            <v>0</v>
          </cell>
        </row>
        <row r="23">
          <cell r="B23" t="str">
            <v>SUPPORT STAFF PAY AND ALLOWANCES</v>
          </cell>
          <cell r="AA23">
            <v>0</v>
          </cell>
        </row>
        <row r="24">
          <cell r="B24" t="str">
            <v>SUPPORT STAFF PAY AND ALLOWANCES</v>
          </cell>
          <cell r="AA24">
            <v>0</v>
          </cell>
        </row>
        <row r="25">
          <cell r="B25" t="str">
            <v>SUPPORT STAFF PAY AND ALLOWANCES</v>
          </cell>
          <cell r="AA25">
            <v>0</v>
          </cell>
        </row>
        <row r="26">
          <cell r="B26" t="str">
            <v>SUPPORT STAFF PAY AND ALLOWANCES</v>
          </cell>
          <cell r="AA26">
            <v>0</v>
          </cell>
        </row>
        <row r="27">
          <cell r="B27" t="str">
            <v>SUPPORT STAFF PAY AND ALLOWANCES</v>
          </cell>
          <cell r="AA27">
            <v>0</v>
          </cell>
        </row>
        <row r="28">
          <cell r="B28" t="str">
            <v>SUPPORT STAFF PAY AND ALLOWANCES</v>
          </cell>
          <cell r="AA28">
            <v>0</v>
          </cell>
        </row>
        <row r="29">
          <cell r="G29">
            <v>0</v>
          </cell>
          <cell r="H29">
            <v>0</v>
          </cell>
          <cell r="I29">
            <v>1069306.48</v>
          </cell>
          <cell r="J29">
            <v>274776</v>
          </cell>
          <cell r="K29">
            <v>215364</v>
          </cell>
          <cell r="N29">
            <v>0</v>
          </cell>
          <cell r="O29">
            <v>1360444</v>
          </cell>
          <cell r="P29">
            <v>3078611</v>
          </cell>
          <cell r="R29">
            <v>0</v>
          </cell>
          <cell r="S29">
            <v>4011570</v>
          </cell>
          <cell r="T29">
            <v>-768779</v>
          </cell>
          <cell r="U29">
            <v>0</v>
          </cell>
          <cell r="W29">
            <v>601030.61456666666</v>
          </cell>
          <cell r="AA29">
            <v>94105715.159999996</v>
          </cell>
        </row>
        <row r="30">
          <cell r="B30" t="str">
            <v>SUPPORT STAFF OVERTIME</v>
          </cell>
          <cell r="AA30">
            <v>913791</v>
          </cell>
        </row>
        <row r="31">
          <cell r="B31" t="str">
            <v>SUPPORT STAFF OVERTIME</v>
          </cell>
          <cell r="AA31">
            <v>472668</v>
          </cell>
        </row>
        <row r="32">
          <cell r="B32" t="str">
            <v>SUPPORT STAFF OVERTIME</v>
          </cell>
          <cell r="AA32">
            <v>0</v>
          </cell>
        </row>
        <row r="33">
          <cell r="B33" t="str">
            <v>SUPPORT STAFF OVERTIME</v>
          </cell>
          <cell r="AA33">
            <v>30829</v>
          </cell>
        </row>
        <row r="34">
          <cell r="B34" t="str">
            <v>SUPPORT STAFF OVERTIME</v>
          </cell>
          <cell r="AA34">
            <v>1000</v>
          </cell>
        </row>
        <row r="35">
          <cell r="B35" t="str">
            <v>TRAINING</v>
          </cell>
          <cell r="I35">
            <v>-9500</v>
          </cell>
          <cell r="K35">
            <v>0</v>
          </cell>
          <cell r="O35">
            <v>100000</v>
          </cell>
          <cell r="U35">
            <v>-39128</v>
          </cell>
          <cell r="AA35">
            <v>490328</v>
          </cell>
        </row>
        <row r="36">
          <cell r="B36" t="str">
            <v>SUPPORT STAFF OVERTIME</v>
          </cell>
          <cell r="AA36">
            <v>49275</v>
          </cell>
        </row>
        <row r="37">
          <cell r="B37" t="str">
            <v>SUPPORT STAFF OVERTIME</v>
          </cell>
          <cell r="AA37">
            <v>71360</v>
          </cell>
        </row>
        <row r="38">
          <cell r="G38">
            <v>0</v>
          </cell>
          <cell r="H38">
            <v>0</v>
          </cell>
          <cell r="I38">
            <v>-46148</v>
          </cell>
          <cell r="K38">
            <v>0</v>
          </cell>
          <cell r="N38">
            <v>0</v>
          </cell>
          <cell r="O38">
            <v>120000</v>
          </cell>
          <cell r="P38">
            <v>200000</v>
          </cell>
          <cell r="R38">
            <v>0</v>
          </cell>
          <cell r="S38">
            <v>0</v>
          </cell>
          <cell r="T38">
            <v>0</v>
          </cell>
          <cell r="U38">
            <v>-23797</v>
          </cell>
          <cell r="W38">
            <v>7990.564166666667</v>
          </cell>
          <cell r="AA38">
            <v>2029251</v>
          </cell>
        </row>
        <row r="39">
          <cell r="AA39">
            <v>0</v>
          </cell>
        </row>
        <row r="40">
          <cell r="AA40">
            <v>322468478.15999997</v>
          </cell>
        </row>
        <row r="41">
          <cell r="AA41">
            <v>0</v>
          </cell>
        </row>
        <row r="42">
          <cell r="B42" t="str">
            <v>BUILDINGS MAINTENANCE</v>
          </cell>
          <cell r="I42">
            <v>0</v>
          </cell>
          <cell r="K42">
            <v>0</v>
          </cell>
          <cell r="U42">
            <v>-92837</v>
          </cell>
          <cell r="AA42">
            <v>883471</v>
          </cell>
        </row>
        <row r="43">
          <cell r="B43" t="str">
            <v>BUILDINGS MAINTENANCE</v>
          </cell>
          <cell r="I43">
            <v>-35502</v>
          </cell>
          <cell r="K43">
            <v>0</v>
          </cell>
          <cell r="U43">
            <v>37598</v>
          </cell>
          <cell r="AA43">
            <v>161704</v>
          </cell>
        </row>
        <row r="44">
          <cell r="B44" t="str">
            <v>BUILDINGS MAINTENANCE</v>
          </cell>
          <cell r="I44">
            <v>0</v>
          </cell>
          <cell r="K44">
            <v>0</v>
          </cell>
          <cell r="U44">
            <v>100800</v>
          </cell>
          <cell r="AA44">
            <v>2200</v>
          </cell>
        </row>
        <row r="45">
          <cell r="B45" t="str">
            <v>BUILDINGS MAINTENANCE</v>
          </cell>
          <cell r="I45">
            <v>0</v>
          </cell>
          <cell r="K45">
            <v>0</v>
          </cell>
          <cell r="U45">
            <v>-16280</v>
          </cell>
          <cell r="AA45">
            <v>116280</v>
          </cell>
        </row>
        <row r="46">
          <cell r="B46" t="str">
            <v>BUILDINGS MAINTENANCE</v>
          </cell>
          <cell r="I46">
            <v>0</v>
          </cell>
          <cell r="K46">
            <v>0</v>
          </cell>
          <cell r="U46">
            <v>-42624</v>
          </cell>
          <cell r="AA46">
            <v>220420</v>
          </cell>
        </row>
        <row r="47">
          <cell r="B47" t="str">
            <v>BUILDINGS MAINTENANCE</v>
          </cell>
          <cell r="I47">
            <v>0</v>
          </cell>
          <cell r="K47">
            <v>0</v>
          </cell>
          <cell r="U47">
            <v>-250846</v>
          </cell>
          <cell r="AA47">
            <v>746401</v>
          </cell>
        </row>
        <row r="48">
          <cell r="B48" t="str">
            <v>BUILDINGS MAINTENANCE</v>
          </cell>
          <cell r="I48">
            <v>0</v>
          </cell>
          <cell r="K48">
            <v>0</v>
          </cell>
          <cell r="U48">
            <v>-7727</v>
          </cell>
          <cell r="AA48">
            <v>98521</v>
          </cell>
        </row>
        <row r="49">
          <cell r="B49" t="str">
            <v>BUILDINGS MAINTENANCE</v>
          </cell>
          <cell r="I49">
            <v>0</v>
          </cell>
          <cell r="K49">
            <v>0</v>
          </cell>
          <cell r="U49">
            <v>-3820</v>
          </cell>
          <cell r="AA49">
            <v>4320</v>
          </cell>
        </row>
        <row r="50">
          <cell r="B50" t="str">
            <v xml:space="preserve">ENERGY </v>
          </cell>
          <cell r="I50">
            <v>0</v>
          </cell>
          <cell r="K50">
            <v>0</v>
          </cell>
          <cell r="U50">
            <v>-223244</v>
          </cell>
          <cell r="AA50">
            <v>1151426</v>
          </cell>
        </row>
        <row r="51">
          <cell r="B51" t="str">
            <v xml:space="preserve">ENERGY </v>
          </cell>
          <cell r="I51">
            <v>0</v>
          </cell>
          <cell r="K51">
            <v>0</v>
          </cell>
          <cell r="U51">
            <v>9633</v>
          </cell>
          <cell r="AA51">
            <v>3140992</v>
          </cell>
        </row>
        <row r="52">
          <cell r="B52" t="str">
            <v>OTHER</v>
          </cell>
          <cell r="I52">
            <v>-1000</v>
          </cell>
          <cell r="K52">
            <v>0</v>
          </cell>
          <cell r="U52">
            <v>-6240</v>
          </cell>
          <cell r="AA52">
            <v>9440</v>
          </cell>
        </row>
        <row r="53">
          <cell r="B53" t="str">
            <v>OTHER</v>
          </cell>
          <cell r="I53">
            <v>5000</v>
          </cell>
          <cell r="K53">
            <v>0</v>
          </cell>
          <cell r="U53">
            <v>-113586</v>
          </cell>
          <cell r="AA53">
            <v>112186</v>
          </cell>
        </row>
        <row r="54">
          <cell r="B54" t="str">
            <v>OTHER</v>
          </cell>
          <cell r="I54">
            <v>-9000</v>
          </cell>
          <cell r="K54">
            <v>0</v>
          </cell>
          <cell r="U54">
            <v>-45410</v>
          </cell>
          <cell r="AA54">
            <v>322507</v>
          </cell>
        </row>
        <row r="55">
          <cell r="B55" t="str">
            <v>OTHER</v>
          </cell>
          <cell r="I55">
            <v>0</v>
          </cell>
          <cell r="K55">
            <v>0</v>
          </cell>
          <cell r="U55">
            <v>-3673</v>
          </cell>
          <cell r="AA55">
            <v>7100</v>
          </cell>
        </row>
        <row r="56">
          <cell r="B56" t="str">
            <v>OTHER</v>
          </cell>
          <cell r="I56">
            <v>0</v>
          </cell>
          <cell r="K56">
            <v>0</v>
          </cell>
          <cell r="U56">
            <v>-6240</v>
          </cell>
          <cell r="AA56">
            <v>6240</v>
          </cell>
        </row>
        <row r="57">
          <cell r="B57" t="str">
            <v>CLEANING CONTRACT</v>
          </cell>
          <cell r="I57">
            <v>0</v>
          </cell>
          <cell r="K57">
            <v>0</v>
          </cell>
          <cell r="U57">
            <v>-211284</v>
          </cell>
          <cell r="AA57">
            <v>1937526</v>
          </cell>
        </row>
        <row r="58">
          <cell r="B58" t="str">
            <v>OTHER</v>
          </cell>
          <cell r="I58">
            <v>-4000</v>
          </cell>
          <cell r="K58">
            <v>0</v>
          </cell>
          <cell r="U58">
            <v>-38325</v>
          </cell>
          <cell r="AA58">
            <v>75754</v>
          </cell>
        </row>
        <row r="59">
          <cell r="B59" t="str">
            <v>OTHER</v>
          </cell>
          <cell r="I59">
            <v>0</v>
          </cell>
          <cell r="K59">
            <v>0</v>
          </cell>
          <cell r="U59">
            <v>-4300</v>
          </cell>
          <cell r="AA59">
            <v>149900</v>
          </cell>
        </row>
        <row r="60">
          <cell r="B60" t="str">
            <v>RENT AND RATES</v>
          </cell>
          <cell r="I60">
            <v>0</v>
          </cell>
          <cell r="K60">
            <v>0</v>
          </cell>
          <cell r="U60">
            <v>-451429</v>
          </cell>
          <cell r="AA60">
            <v>14290046</v>
          </cell>
        </row>
        <row r="61">
          <cell r="B61" t="str">
            <v>RENT AND RATES</v>
          </cell>
          <cell r="I61">
            <v>0</v>
          </cell>
          <cell r="K61">
            <v>0</v>
          </cell>
          <cell r="O61">
            <v>51592.088000000003</v>
          </cell>
          <cell r="U61">
            <v>-458000</v>
          </cell>
          <cell r="AA61">
            <v>6449011</v>
          </cell>
        </row>
        <row r="62">
          <cell r="B62" t="str">
            <v>OTHER</v>
          </cell>
          <cell r="I62">
            <v>0</v>
          </cell>
          <cell r="K62">
            <v>0</v>
          </cell>
          <cell r="U62">
            <v>-53250</v>
          </cell>
          <cell r="AA62">
            <v>55050</v>
          </cell>
        </row>
        <row r="63">
          <cell r="B63" t="str">
            <v xml:space="preserve">ENERGY </v>
          </cell>
          <cell r="I63">
            <v>0</v>
          </cell>
          <cell r="K63">
            <v>0</v>
          </cell>
          <cell r="U63">
            <v>2060</v>
          </cell>
          <cell r="AA63">
            <v>470155</v>
          </cell>
        </row>
        <row r="64">
          <cell r="B64" t="str">
            <v>BUILDINGS MAINTENANCE</v>
          </cell>
          <cell r="I64">
            <v>0</v>
          </cell>
          <cell r="K64">
            <v>0</v>
          </cell>
          <cell r="AA64">
            <v>12500</v>
          </cell>
        </row>
        <row r="65">
          <cell r="B65" t="str">
            <v xml:space="preserve">ENERGY </v>
          </cell>
          <cell r="I65">
            <v>0</v>
          </cell>
          <cell r="K65">
            <v>0</v>
          </cell>
          <cell r="U65">
            <v>-60250</v>
          </cell>
          <cell r="AA65">
            <v>449221</v>
          </cell>
        </row>
        <row r="66">
          <cell r="AA66">
            <v>30872371</v>
          </cell>
        </row>
        <row r="67">
          <cell r="AA67">
            <v>0</v>
          </cell>
        </row>
        <row r="68">
          <cell r="B68" t="str">
            <v>COMPUTERS AND COMMUNICATIONS</v>
          </cell>
          <cell r="I68">
            <v>0</v>
          </cell>
          <cell r="K68">
            <v>0</v>
          </cell>
          <cell r="U68">
            <v>-311693</v>
          </cell>
          <cell r="AA68">
            <v>996693</v>
          </cell>
        </row>
        <row r="69">
          <cell r="B69" t="str">
            <v>COMPUTERS AND COMMUNICATIONS</v>
          </cell>
          <cell r="I69">
            <v>-11000</v>
          </cell>
          <cell r="K69">
            <v>0</v>
          </cell>
          <cell r="U69">
            <v>-112447</v>
          </cell>
          <cell r="AA69">
            <v>481629</v>
          </cell>
        </row>
        <row r="70">
          <cell r="B70" t="str">
            <v>COMPUTERS AND COMMUNICATIONS</v>
          </cell>
          <cell r="I70">
            <v>0</v>
          </cell>
          <cell r="K70">
            <v>0</v>
          </cell>
          <cell r="U70">
            <v>-272113</v>
          </cell>
          <cell r="AA70">
            <v>1137113</v>
          </cell>
        </row>
        <row r="71">
          <cell r="B71" t="str">
            <v>COMPUTERS AND COMMUNICATIONS</v>
          </cell>
          <cell r="I71">
            <v>-89682</v>
          </cell>
          <cell r="K71">
            <v>0</v>
          </cell>
          <cell r="U71">
            <v>488470</v>
          </cell>
          <cell r="AA71">
            <v>795766</v>
          </cell>
        </row>
        <row r="72">
          <cell r="B72" t="str">
            <v>COMPUTERS AND COMMUNICATIONS</v>
          </cell>
          <cell r="I72">
            <v>-1700</v>
          </cell>
          <cell r="K72">
            <v>0</v>
          </cell>
          <cell r="U72">
            <v>-19694</v>
          </cell>
          <cell r="AA72">
            <v>23144</v>
          </cell>
        </row>
        <row r="73">
          <cell r="B73" t="str">
            <v>COMPUTERS AND COMMUNICATIONS</v>
          </cell>
          <cell r="I73">
            <v>-2100</v>
          </cell>
          <cell r="K73">
            <v>0</v>
          </cell>
          <cell r="O73">
            <v>49600</v>
          </cell>
          <cell r="U73">
            <v>-64503</v>
          </cell>
          <cell r="AA73">
            <v>122103</v>
          </cell>
        </row>
        <row r="74">
          <cell r="B74" t="str">
            <v>COMPUTERS AND COMMUNICATIONS</v>
          </cell>
          <cell r="I74">
            <v>0</v>
          </cell>
          <cell r="K74">
            <v>0</v>
          </cell>
          <cell r="AA74">
            <v>0</v>
          </cell>
        </row>
        <row r="75">
          <cell r="B75" t="str">
            <v>COMPUTERS AND COMMUNICATIONS</v>
          </cell>
          <cell r="I75">
            <v>0</v>
          </cell>
          <cell r="K75">
            <v>0</v>
          </cell>
          <cell r="U75">
            <v>-362</v>
          </cell>
          <cell r="AA75">
            <v>612</v>
          </cell>
        </row>
        <row r="76">
          <cell r="B76" t="str">
            <v>COMPUTERS AND COMMUNICATIONS</v>
          </cell>
          <cell r="I76">
            <v>-10000</v>
          </cell>
          <cell r="K76">
            <v>0</v>
          </cell>
          <cell r="O76">
            <v>393703</v>
          </cell>
          <cell r="U76">
            <v>389051</v>
          </cell>
          <cell r="AA76">
            <v>4635902</v>
          </cell>
        </row>
        <row r="77">
          <cell r="B77" t="str">
            <v>COMPUTERS AND COMMUNICATIONS</v>
          </cell>
          <cell r="I77">
            <v>-4000</v>
          </cell>
          <cell r="K77">
            <v>0</v>
          </cell>
          <cell r="U77">
            <v>-93205</v>
          </cell>
          <cell r="AA77">
            <v>150233</v>
          </cell>
        </row>
        <row r="78">
          <cell r="B78" t="str">
            <v>COMPUTERS AND COMMUNICATIONS</v>
          </cell>
          <cell r="I78">
            <v>-43178.76</v>
          </cell>
          <cell r="K78">
            <v>0</v>
          </cell>
          <cell r="P78">
            <v>25200</v>
          </cell>
          <cell r="U78">
            <v>-157515</v>
          </cell>
          <cell r="AA78">
            <v>587049.76</v>
          </cell>
        </row>
        <row r="79">
          <cell r="B79" t="str">
            <v>COMPUTERS AND COMMUNICATIONS</v>
          </cell>
          <cell r="I79">
            <v>0</v>
          </cell>
          <cell r="K79">
            <v>0</v>
          </cell>
          <cell r="AA79">
            <v>40000</v>
          </cell>
        </row>
        <row r="80">
          <cell r="B80" t="str">
            <v>COMPUTERS AND COMMUNICATIONS</v>
          </cell>
          <cell r="I80">
            <v>0</v>
          </cell>
          <cell r="K80">
            <v>0</v>
          </cell>
          <cell r="U80">
            <v>-103000</v>
          </cell>
          <cell r="AA80">
            <v>153000</v>
          </cell>
        </row>
        <row r="81">
          <cell r="B81" t="str">
            <v>COMPUTERS AND COMMUNICATIONS</v>
          </cell>
          <cell r="I81">
            <v>0</v>
          </cell>
          <cell r="K81">
            <v>0</v>
          </cell>
          <cell r="O81">
            <v>437000</v>
          </cell>
          <cell r="T81">
            <v>-413000</v>
          </cell>
          <cell r="U81">
            <v>163400</v>
          </cell>
          <cell r="AA81">
            <v>2254200</v>
          </cell>
        </row>
        <row r="82">
          <cell r="B82" t="str">
            <v>COMPUTERS AND COMMUNICATIONS</v>
          </cell>
          <cell r="I82">
            <v>0</v>
          </cell>
          <cell r="K82">
            <v>0</v>
          </cell>
          <cell r="AA82">
            <v>176564</v>
          </cell>
        </row>
        <row r="83">
          <cell r="B83" t="str">
            <v>OTHER</v>
          </cell>
          <cell r="I83">
            <v>0</v>
          </cell>
          <cell r="K83">
            <v>0</v>
          </cell>
          <cell r="U83">
            <v>-4245</v>
          </cell>
          <cell r="AA83">
            <v>4245</v>
          </cell>
        </row>
        <row r="84">
          <cell r="B84" t="str">
            <v>OTHER</v>
          </cell>
          <cell r="I84">
            <v>0</v>
          </cell>
          <cell r="K84">
            <v>0</v>
          </cell>
          <cell r="U84">
            <v>-21224</v>
          </cell>
          <cell r="AA84">
            <v>21224</v>
          </cell>
        </row>
        <row r="85">
          <cell r="B85" t="str">
            <v>CLOTHING</v>
          </cell>
          <cell r="I85">
            <v>0</v>
          </cell>
          <cell r="K85">
            <v>0</v>
          </cell>
          <cell r="U85">
            <v>-3000</v>
          </cell>
          <cell r="AA85">
            <v>15000</v>
          </cell>
        </row>
        <row r="86">
          <cell r="B86" t="str">
            <v>CLOTHING</v>
          </cell>
          <cell r="I86">
            <v>0</v>
          </cell>
          <cell r="K86">
            <v>0</v>
          </cell>
          <cell r="U86">
            <v>-100</v>
          </cell>
          <cell r="AA86">
            <v>100</v>
          </cell>
        </row>
        <row r="87">
          <cell r="B87" t="str">
            <v>CLOTHING</v>
          </cell>
          <cell r="I87">
            <v>0</v>
          </cell>
          <cell r="K87">
            <v>0</v>
          </cell>
          <cell r="U87">
            <v>499409</v>
          </cell>
          <cell r="AA87">
            <v>1427700</v>
          </cell>
        </row>
        <row r="88">
          <cell r="B88" t="str">
            <v>CLOTHING</v>
          </cell>
          <cell r="I88">
            <v>0</v>
          </cell>
          <cell r="K88">
            <v>0</v>
          </cell>
          <cell r="U88">
            <v>-400</v>
          </cell>
          <cell r="AA88">
            <v>700</v>
          </cell>
        </row>
        <row r="89">
          <cell r="B89" t="str">
            <v>CLOTHING</v>
          </cell>
          <cell r="I89">
            <v>0</v>
          </cell>
          <cell r="K89">
            <v>0</v>
          </cell>
          <cell r="U89">
            <v>-75933</v>
          </cell>
          <cell r="AA89">
            <v>137800</v>
          </cell>
        </row>
        <row r="90">
          <cell r="B90" t="str">
            <v>CLOTHING</v>
          </cell>
          <cell r="I90">
            <v>0</v>
          </cell>
          <cell r="K90">
            <v>0</v>
          </cell>
          <cell r="U90">
            <v>8700</v>
          </cell>
          <cell r="AA90">
            <v>76800</v>
          </cell>
        </row>
        <row r="91">
          <cell r="B91" t="str">
            <v>MEDICAL EXPENSES</v>
          </cell>
          <cell r="I91">
            <v>-4617</v>
          </cell>
          <cell r="K91">
            <v>0</v>
          </cell>
          <cell r="AA91">
            <v>319363</v>
          </cell>
        </row>
        <row r="92">
          <cell r="B92" t="str">
            <v>MEDICAL EXPENSES</v>
          </cell>
          <cell r="I92">
            <v>-15000</v>
          </cell>
          <cell r="K92">
            <v>0</v>
          </cell>
          <cell r="U92">
            <v>-4816</v>
          </cell>
          <cell r="AA92">
            <v>21420</v>
          </cell>
        </row>
        <row r="93">
          <cell r="B93" t="str">
            <v>FORENSIC</v>
          </cell>
          <cell r="I93">
            <v>0</v>
          </cell>
          <cell r="K93">
            <v>0</v>
          </cell>
          <cell r="U93">
            <v>-12993</v>
          </cell>
          <cell r="AA93">
            <v>32242</v>
          </cell>
        </row>
        <row r="94">
          <cell r="B94" t="str">
            <v>MEDICAL EXPENSES</v>
          </cell>
          <cell r="I94">
            <v>0</v>
          </cell>
          <cell r="K94">
            <v>0</v>
          </cell>
          <cell r="O94">
            <v>-3192</v>
          </cell>
          <cell r="AA94">
            <v>2608140</v>
          </cell>
        </row>
        <row r="95">
          <cell r="B95" t="str">
            <v>MEDICAL EXPENSES</v>
          </cell>
          <cell r="I95">
            <v>0</v>
          </cell>
          <cell r="K95">
            <v>0</v>
          </cell>
          <cell r="U95">
            <v>-44812</v>
          </cell>
          <cell r="AA95">
            <v>202215</v>
          </cell>
        </row>
        <row r="96">
          <cell r="B96" t="str">
            <v>MEDICAL EXPENSES</v>
          </cell>
          <cell r="I96">
            <v>0</v>
          </cell>
          <cell r="K96">
            <v>0</v>
          </cell>
          <cell r="AA96">
            <v>90000</v>
          </cell>
        </row>
        <row r="97">
          <cell r="B97" t="str">
            <v>MEDICAL EXPENSES</v>
          </cell>
          <cell r="I97">
            <v>0</v>
          </cell>
          <cell r="K97">
            <v>0</v>
          </cell>
          <cell r="U97">
            <v>-250</v>
          </cell>
          <cell r="AA97">
            <v>250</v>
          </cell>
        </row>
        <row r="98">
          <cell r="B98" t="str">
            <v>MEDICAL EXPENSES</v>
          </cell>
          <cell r="I98">
            <v>1000</v>
          </cell>
          <cell r="K98">
            <v>0</v>
          </cell>
          <cell r="U98">
            <v>-950</v>
          </cell>
          <cell r="AA98">
            <v>950</v>
          </cell>
        </row>
        <row r="99">
          <cell r="B99" t="str">
            <v>MEDICAL EXPENSES</v>
          </cell>
          <cell r="I99">
            <v>-40000</v>
          </cell>
          <cell r="K99">
            <v>0</v>
          </cell>
          <cell r="U99">
            <v>-25450</v>
          </cell>
          <cell r="AA99">
            <v>426450</v>
          </cell>
        </row>
        <row r="100">
          <cell r="B100" t="str">
            <v>FORENSIC</v>
          </cell>
          <cell r="I100">
            <v>0</v>
          </cell>
          <cell r="K100">
            <v>0</v>
          </cell>
          <cell r="O100">
            <v>50000</v>
          </cell>
          <cell r="U100">
            <v>-15500</v>
          </cell>
          <cell r="AA100">
            <v>15500</v>
          </cell>
        </row>
        <row r="101">
          <cell r="B101" t="str">
            <v>FORENSIC</v>
          </cell>
          <cell r="I101">
            <v>0</v>
          </cell>
          <cell r="K101">
            <v>0</v>
          </cell>
          <cell r="AA101">
            <v>0</v>
          </cell>
        </row>
        <row r="102">
          <cell r="B102" t="str">
            <v>FORENSIC</v>
          </cell>
          <cell r="I102">
            <v>0</v>
          </cell>
          <cell r="K102">
            <v>0</v>
          </cell>
          <cell r="U102">
            <v>-2500</v>
          </cell>
          <cell r="AA102">
            <v>16500</v>
          </cell>
        </row>
        <row r="103">
          <cell r="B103" t="str">
            <v>OTHER</v>
          </cell>
          <cell r="I103">
            <v>0</v>
          </cell>
          <cell r="K103">
            <v>0</v>
          </cell>
          <cell r="U103">
            <v>-940</v>
          </cell>
          <cell r="AA103">
            <v>3940</v>
          </cell>
        </row>
        <row r="104">
          <cell r="B104" t="str">
            <v>OPERATIONAL &amp; ADMIN EQUIPMENT</v>
          </cell>
          <cell r="I104">
            <v>0</v>
          </cell>
          <cell r="K104">
            <v>0</v>
          </cell>
          <cell r="U104">
            <v>196700</v>
          </cell>
          <cell r="AA104">
            <v>8300</v>
          </cell>
        </row>
        <row r="105">
          <cell r="B105" t="str">
            <v>OPERATIONAL &amp; ADMIN EQUIPMENT</v>
          </cell>
          <cell r="I105">
            <v>-5000</v>
          </cell>
          <cell r="K105">
            <v>0</v>
          </cell>
          <cell r="U105">
            <v>-34600</v>
          </cell>
          <cell r="AA105">
            <v>99600</v>
          </cell>
        </row>
        <row r="106">
          <cell r="B106" t="str">
            <v>OPERATIONAL &amp; ADMIN EQUIPMENT</v>
          </cell>
          <cell r="I106">
            <v>0</v>
          </cell>
          <cell r="K106">
            <v>0</v>
          </cell>
          <cell r="U106">
            <v>-20600</v>
          </cell>
          <cell r="AA106">
            <v>30600</v>
          </cell>
        </row>
        <row r="107">
          <cell r="B107" t="str">
            <v>OPERATIONAL &amp; ADMIN EQUIPMENT</v>
          </cell>
          <cell r="I107">
            <v>0</v>
          </cell>
          <cell r="K107">
            <v>0</v>
          </cell>
          <cell r="U107">
            <v>-1730</v>
          </cell>
          <cell r="AA107">
            <v>2230</v>
          </cell>
        </row>
        <row r="108">
          <cell r="B108" t="str">
            <v>OPERATIONAL &amp; ADMIN EQUIPMENT</v>
          </cell>
          <cell r="I108">
            <v>-3000</v>
          </cell>
          <cell r="K108">
            <v>0</v>
          </cell>
          <cell r="U108">
            <v>8666</v>
          </cell>
          <cell r="AA108">
            <v>19820</v>
          </cell>
        </row>
        <row r="109">
          <cell r="B109" t="str">
            <v>OPERATIONAL &amp; ADMIN EQUIPMENT</v>
          </cell>
          <cell r="I109">
            <v>0</v>
          </cell>
          <cell r="K109">
            <v>0</v>
          </cell>
          <cell r="U109">
            <v>-20254</v>
          </cell>
          <cell r="AA109">
            <v>114254</v>
          </cell>
        </row>
        <row r="110">
          <cell r="B110" t="str">
            <v>OPERATIONAL &amp; ADMIN EQUIPMENT</v>
          </cell>
          <cell r="I110">
            <v>0</v>
          </cell>
          <cell r="K110">
            <v>0</v>
          </cell>
          <cell r="U110">
            <v>-1700</v>
          </cell>
          <cell r="AA110">
            <v>1700</v>
          </cell>
        </row>
        <row r="111">
          <cell r="B111" t="str">
            <v>OPERATIONAL &amp; ADMIN EQUIPMENT</v>
          </cell>
          <cell r="I111">
            <v>0</v>
          </cell>
          <cell r="K111">
            <v>0</v>
          </cell>
          <cell r="AA111">
            <v>0</v>
          </cell>
        </row>
        <row r="112">
          <cell r="B112" t="str">
            <v>OPERATIONAL &amp; ADMIN EQUIPMENT</v>
          </cell>
          <cell r="I112">
            <v>0</v>
          </cell>
          <cell r="K112">
            <v>0</v>
          </cell>
          <cell r="U112">
            <v>-20000</v>
          </cell>
          <cell r="AA112">
            <v>55700</v>
          </cell>
        </row>
        <row r="113">
          <cell r="B113" t="str">
            <v>OPERATIONAL &amp; ADMIN EQUIPMENT</v>
          </cell>
          <cell r="I113">
            <v>-56200</v>
          </cell>
          <cell r="K113">
            <v>0</v>
          </cell>
          <cell r="U113">
            <v>-30649</v>
          </cell>
          <cell r="AA113">
            <v>625734</v>
          </cell>
        </row>
        <row r="114">
          <cell r="B114" t="str">
            <v>OPERATIONAL &amp; ADMIN EQUIPMENT</v>
          </cell>
          <cell r="I114">
            <v>0</v>
          </cell>
          <cell r="K114">
            <v>0</v>
          </cell>
          <cell r="U114">
            <v>12920</v>
          </cell>
          <cell r="AA114">
            <v>239580</v>
          </cell>
        </row>
        <row r="115">
          <cell r="B115" t="str">
            <v>OPERATIONAL &amp; ADMIN EQUIPMENT</v>
          </cell>
          <cell r="I115">
            <v>0</v>
          </cell>
          <cell r="K115">
            <v>0</v>
          </cell>
          <cell r="AA115">
            <v>0</v>
          </cell>
        </row>
        <row r="116">
          <cell r="B116" t="str">
            <v>OPERATIONAL &amp; ADMIN EQUIPMENT</v>
          </cell>
          <cell r="I116">
            <v>0</v>
          </cell>
          <cell r="K116">
            <v>0</v>
          </cell>
          <cell r="U116">
            <v>-620</v>
          </cell>
          <cell r="AA116">
            <v>29620</v>
          </cell>
        </row>
        <row r="117">
          <cell r="B117" t="str">
            <v>OPERATIONAL &amp; ADMIN EQUIPMENT</v>
          </cell>
          <cell r="I117">
            <v>-3000</v>
          </cell>
          <cell r="K117">
            <v>0</v>
          </cell>
          <cell r="U117">
            <v>-14315</v>
          </cell>
          <cell r="AA117">
            <v>33100</v>
          </cell>
        </row>
        <row r="118">
          <cell r="B118" t="str">
            <v>OPERATIONAL &amp; ADMIN EQUIPMENT</v>
          </cell>
          <cell r="I118">
            <v>0</v>
          </cell>
          <cell r="K118">
            <v>0</v>
          </cell>
          <cell r="U118">
            <v>1475</v>
          </cell>
          <cell r="AA118">
            <v>7525</v>
          </cell>
        </row>
        <row r="119">
          <cell r="B119" t="str">
            <v>OPERATIONAL &amp; ADMIN EQUIPMENT</v>
          </cell>
          <cell r="I119">
            <v>0</v>
          </cell>
          <cell r="K119">
            <v>0</v>
          </cell>
          <cell r="AA119">
            <v>2500</v>
          </cell>
        </row>
        <row r="120">
          <cell r="B120" t="str">
            <v>OPERATIONAL &amp; ADMIN EQUIPMENT</v>
          </cell>
          <cell r="I120">
            <v>0</v>
          </cell>
          <cell r="K120">
            <v>0</v>
          </cell>
          <cell r="U120">
            <v>-50</v>
          </cell>
          <cell r="AA120">
            <v>50</v>
          </cell>
        </row>
        <row r="121">
          <cell r="B121" t="str">
            <v>OPERATIONAL &amp; ADMIN EQUIPMENT</v>
          </cell>
          <cell r="I121">
            <v>0</v>
          </cell>
          <cell r="K121">
            <v>0</v>
          </cell>
          <cell r="AA121">
            <v>1000</v>
          </cell>
        </row>
        <row r="122">
          <cell r="B122" t="str">
            <v>OPERATIONAL &amp; ADMIN EQUIPMENT</v>
          </cell>
          <cell r="I122">
            <v>0</v>
          </cell>
          <cell r="K122">
            <v>0</v>
          </cell>
          <cell r="U122">
            <v>-2540</v>
          </cell>
          <cell r="AA122">
            <v>11140</v>
          </cell>
        </row>
        <row r="123">
          <cell r="B123" t="str">
            <v>OPERATIONAL &amp; ADMIN EQUIPMENT</v>
          </cell>
          <cell r="I123">
            <v>-1000</v>
          </cell>
          <cell r="K123">
            <v>0</v>
          </cell>
          <cell r="U123">
            <v>-30518</v>
          </cell>
          <cell r="AA123">
            <v>63596</v>
          </cell>
        </row>
        <row r="124">
          <cell r="B124" t="str">
            <v>PRINTING PHOTOCOPYING STATIONERY EXTC</v>
          </cell>
          <cell r="I124">
            <v>-29820</v>
          </cell>
          <cell r="K124">
            <v>0</v>
          </cell>
          <cell r="U124">
            <v>-17290</v>
          </cell>
          <cell r="AA124">
            <v>803685</v>
          </cell>
        </row>
        <row r="125">
          <cell r="B125" t="str">
            <v>OPERATIONAL &amp; ADMIN EQUIPMENT</v>
          </cell>
          <cell r="I125">
            <v>-51396</v>
          </cell>
          <cell r="K125">
            <v>0</v>
          </cell>
          <cell r="U125">
            <v>-2000</v>
          </cell>
          <cell r="AA125">
            <v>53396</v>
          </cell>
        </row>
        <row r="126">
          <cell r="B126" t="str">
            <v>PRINTING PHOTOCOPYING STATIONERY EXTC</v>
          </cell>
          <cell r="I126">
            <v>-2000</v>
          </cell>
          <cell r="K126">
            <v>0</v>
          </cell>
          <cell r="U126">
            <v>-47487</v>
          </cell>
          <cell r="AA126">
            <v>358505</v>
          </cell>
        </row>
        <row r="127">
          <cell r="B127" t="str">
            <v>PRINTING PHOTOCOPYING STATIONERY EXTC</v>
          </cell>
          <cell r="I127">
            <v>-1800</v>
          </cell>
          <cell r="K127">
            <v>0</v>
          </cell>
          <cell r="U127">
            <v>-31282</v>
          </cell>
          <cell r="AA127">
            <v>191900</v>
          </cell>
        </row>
        <row r="128">
          <cell r="B128" t="str">
            <v>PRINTING PHOTOCOPYING STATIONERY EXTC</v>
          </cell>
          <cell r="I128">
            <v>-5071</v>
          </cell>
          <cell r="K128">
            <v>0</v>
          </cell>
          <cell r="U128">
            <v>-14206</v>
          </cell>
          <cell r="AA128">
            <v>54699</v>
          </cell>
        </row>
        <row r="129">
          <cell r="B129" t="str">
            <v>PRINTING PHOTOCOPYING STATIONERY EXTC</v>
          </cell>
          <cell r="I129">
            <v>-3500</v>
          </cell>
          <cell r="K129">
            <v>0</v>
          </cell>
          <cell r="U129">
            <v>34010</v>
          </cell>
          <cell r="AA129">
            <v>307140</v>
          </cell>
        </row>
        <row r="130">
          <cell r="B130" t="str">
            <v>OPERATIONAL &amp; ADMIN EQUIPMENT</v>
          </cell>
          <cell r="I130">
            <v>-7315</v>
          </cell>
          <cell r="K130">
            <v>0</v>
          </cell>
          <cell r="U130">
            <v>-20701</v>
          </cell>
          <cell r="AA130">
            <v>61660</v>
          </cell>
        </row>
        <row r="131">
          <cell r="B131" t="str">
            <v>OPERATIONAL &amp; ADMIN EQUIPMENT</v>
          </cell>
          <cell r="I131">
            <v>0</v>
          </cell>
          <cell r="K131">
            <v>0</v>
          </cell>
          <cell r="U131">
            <v>8516</v>
          </cell>
          <cell r="AA131">
            <v>83280</v>
          </cell>
        </row>
        <row r="132">
          <cell r="B132" t="str">
            <v>OPERATIONAL &amp; ADMIN EQUIPMENT</v>
          </cell>
          <cell r="I132">
            <v>-21000</v>
          </cell>
          <cell r="K132">
            <v>0</v>
          </cell>
          <cell r="U132">
            <v>-27660</v>
          </cell>
          <cell r="AA132">
            <v>58610</v>
          </cell>
        </row>
        <row r="133">
          <cell r="B133" t="str">
            <v>OPERATIONAL &amp; ADMIN EQUIPMENT</v>
          </cell>
          <cell r="I133">
            <v>-2350</v>
          </cell>
          <cell r="K133">
            <v>0</v>
          </cell>
          <cell r="U133">
            <v>-6910</v>
          </cell>
          <cell r="AA133">
            <v>58260</v>
          </cell>
        </row>
        <row r="134">
          <cell r="B134" t="str">
            <v>OPERATIONAL &amp; ADMIN EQUIPMENT</v>
          </cell>
          <cell r="I134">
            <v>0</v>
          </cell>
          <cell r="K134">
            <v>0</v>
          </cell>
          <cell r="U134">
            <v>-1160</v>
          </cell>
          <cell r="AA134">
            <v>15660</v>
          </cell>
        </row>
        <row r="135">
          <cell r="B135" t="str">
            <v>OPERATIONAL &amp; ADMIN EQUIPMENT</v>
          </cell>
          <cell r="I135">
            <v>-15860</v>
          </cell>
          <cell r="K135">
            <v>0</v>
          </cell>
          <cell r="U135">
            <v>6060</v>
          </cell>
          <cell r="AA135">
            <v>55000</v>
          </cell>
        </row>
        <row r="136">
          <cell r="B136" t="str">
            <v>OPERATIONAL &amp; ADMIN EQUIPMENT</v>
          </cell>
          <cell r="I136">
            <v>-2000</v>
          </cell>
          <cell r="K136">
            <v>0</v>
          </cell>
          <cell r="AA136">
            <v>5000</v>
          </cell>
        </row>
        <row r="137">
          <cell r="B137" t="str">
            <v>OPERATIONAL &amp; ADMIN EQUIPMENT</v>
          </cell>
          <cell r="I137">
            <v>-9000</v>
          </cell>
          <cell r="K137">
            <v>0</v>
          </cell>
          <cell r="U137">
            <v>-6000</v>
          </cell>
          <cell r="AA137">
            <v>60000</v>
          </cell>
        </row>
        <row r="138">
          <cell r="B138" t="str">
            <v>DIVISIONAL INITIATIVES COMMUNITY SAFETY</v>
          </cell>
          <cell r="I138">
            <v>0</v>
          </cell>
          <cell r="K138">
            <v>0</v>
          </cell>
          <cell r="U138">
            <v>-8000</v>
          </cell>
          <cell r="AA138">
            <v>18000</v>
          </cell>
        </row>
        <row r="139">
          <cell r="B139" t="str">
            <v>DIVISIONAL INITIATIVES COMMUNITY SAFETY</v>
          </cell>
          <cell r="I139">
            <v>-500</v>
          </cell>
          <cell r="K139">
            <v>0</v>
          </cell>
          <cell r="U139">
            <v>-11450</v>
          </cell>
          <cell r="AA139">
            <v>16450</v>
          </cell>
        </row>
        <row r="140">
          <cell r="B140" t="str">
            <v>DIVISIONAL INITIATIVES COMMUNITY SAFETY</v>
          </cell>
          <cell r="I140">
            <v>0</v>
          </cell>
          <cell r="K140">
            <v>0</v>
          </cell>
          <cell r="AA140">
            <v>0</v>
          </cell>
        </row>
        <row r="141">
          <cell r="B141" t="str">
            <v>DIVISIONAL INITIATIVES COMMUNITY SAFETY</v>
          </cell>
          <cell r="I141">
            <v>0</v>
          </cell>
          <cell r="K141">
            <v>0</v>
          </cell>
          <cell r="P141">
            <v>20000</v>
          </cell>
          <cell r="U141">
            <v>-25888</v>
          </cell>
          <cell r="AA141">
            <v>129522</v>
          </cell>
        </row>
        <row r="142">
          <cell r="B142" t="str">
            <v>DIVISIONAL INITIATIVES COMMUNITY SAFETY</v>
          </cell>
          <cell r="I142">
            <v>0</v>
          </cell>
          <cell r="K142">
            <v>0</v>
          </cell>
          <cell r="U142">
            <v>24300</v>
          </cell>
          <cell r="AA142">
            <v>35700</v>
          </cell>
        </row>
        <row r="143">
          <cell r="B143" t="str">
            <v>DIVISIONAL INITIATIVES COMMUNITY SAFETY</v>
          </cell>
          <cell r="I143">
            <v>-57000</v>
          </cell>
          <cell r="J143">
            <v>17865</v>
          </cell>
          <cell r="U143">
            <v>64180</v>
          </cell>
          <cell r="AA143">
            <v>173874.54</v>
          </cell>
        </row>
        <row r="144">
          <cell r="B144" t="str">
            <v>DIVISIONAL INITIATIVES COMMUNITY SAFETY</v>
          </cell>
          <cell r="I144">
            <v>0</v>
          </cell>
          <cell r="K144">
            <v>0</v>
          </cell>
          <cell r="O144">
            <v>82258</v>
          </cell>
          <cell r="U144">
            <v>1360</v>
          </cell>
          <cell r="AA144">
            <v>132159</v>
          </cell>
        </row>
        <row r="145">
          <cell r="B145" t="str">
            <v>ID PARADES</v>
          </cell>
          <cell r="I145">
            <v>0</v>
          </cell>
          <cell r="K145">
            <v>0</v>
          </cell>
          <cell r="U145">
            <v>-435</v>
          </cell>
          <cell r="AA145">
            <v>172000</v>
          </cell>
        </row>
        <row r="146">
          <cell r="B146" t="str">
            <v>OTHER</v>
          </cell>
          <cell r="I146">
            <v>0</v>
          </cell>
          <cell r="K146">
            <v>0</v>
          </cell>
          <cell r="U146">
            <v>-2500</v>
          </cell>
          <cell r="AA146">
            <v>36800</v>
          </cell>
        </row>
        <row r="147">
          <cell r="B147" t="str">
            <v>OTHER</v>
          </cell>
          <cell r="I147">
            <v>0</v>
          </cell>
          <cell r="K147">
            <v>0</v>
          </cell>
          <cell r="U147">
            <v>-5060</v>
          </cell>
          <cell r="AA147">
            <v>90060</v>
          </cell>
        </row>
        <row r="148">
          <cell r="B148" t="str">
            <v>OTHER</v>
          </cell>
          <cell r="I148">
            <v>0</v>
          </cell>
          <cell r="K148">
            <v>0</v>
          </cell>
          <cell r="U148">
            <v>-120</v>
          </cell>
          <cell r="AA148">
            <v>120</v>
          </cell>
        </row>
        <row r="149">
          <cell r="B149" t="str">
            <v>OTHER</v>
          </cell>
          <cell r="I149">
            <v>0</v>
          </cell>
          <cell r="K149">
            <v>0</v>
          </cell>
          <cell r="U149">
            <v>-1620</v>
          </cell>
          <cell r="AA149">
            <v>1620</v>
          </cell>
        </row>
        <row r="150">
          <cell r="B150" t="str">
            <v>OTHER</v>
          </cell>
          <cell r="I150">
            <v>0</v>
          </cell>
          <cell r="K150">
            <v>0</v>
          </cell>
          <cell r="U150">
            <v>-180</v>
          </cell>
          <cell r="AA150">
            <v>180</v>
          </cell>
        </row>
        <row r="151">
          <cell r="B151" t="str">
            <v>OTHER</v>
          </cell>
          <cell r="I151">
            <v>0</v>
          </cell>
          <cell r="K151">
            <v>0</v>
          </cell>
          <cell r="U151">
            <v>-6000</v>
          </cell>
          <cell r="AA151">
            <v>62000</v>
          </cell>
        </row>
        <row r="152">
          <cell r="B152" t="str">
            <v>OTHER</v>
          </cell>
          <cell r="I152">
            <v>0</v>
          </cell>
          <cell r="K152">
            <v>0</v>
          </cell>
          <cell r="U152">
            <v>500</v>
          </cell>
          <cell r="AA152">
            <v>1110</v>
          </cell>
        </row>
        <row r="153">
          <cell r="B153" t="str">
            <v>OTHER</v>
          </cell>
          <cell r="I153">
            <v>0</v>
          </cell>
          <cell r="K153">
            <v>0</v>
          </cell>
          <cell r="U153">
            <v>5892</v>
          </cell>
          <cell r="AA153">
            <v>281108</v>
          </cell>
        </row>
        <row r="154">
          <cell r="B154" t="str">
            <v>OTHER</v>
          </cell>
          <cell r="I154">
            <v>0</v>
          </cell>
          <cell r="K154">
            <v>0</v>
          </cell>
          <cell r="U154">
            <v>-205</v>
          </cell>
          <cell r="AA154">
            <v>205</v>
          </cell>
        </row>
        <row r="155">
          <cell r="B155" t="str">
            <v>OTHER</v>
          </cell>
          <cell r="I155">
            <v>-20000</v>
          </cell>
          <cell r="K155">
            <v>0</v>
          </cell>
          <cell r="U155">
            <v>103390</v>
          </cell>
          <cell r="AA155">
            <v>114155</v>
          </cell>
        </row>
        <row r="156">
          <cell r="B156" t="str">
            <v>OTHER</v>
          </cell>
          <cell r="I156">
            <v>0</v>
          </cell>
          <cell r="K156">
            <v>0</v>
          </cell>
          <cell r="U156">
            <v>-42332</v>
          </cell>
          <cell r="AA156">
            <v>133420</v>
          </cell>
        </row>
        <row r="157">
          <cell r="B157" t="str">
            <v>VEHCLE RECOVERY</v>
          </cell>
          <cell r="I157">
            <v>-7000</v>
          </cell>
          <cell r="K157">
            <v>0</v>
          </cell>
          <cell r="U157">
            <v>276510</v>
          </cell>
          <cell r="AA157">
            <v>675000</v>
          </cell>
        </row>
        <row r="158">
          <cell r="B158" t="str">
            <v>OTHER</v>
          </cell>
          <cell r="I158">
            <v>0</v>
          </cell>
          <cell r="K158">
            <v>0</v>
          </cell>
          <cell r="U158">
            <v>-16926</v>
          </cell>
          <cell r="AA158">
            <v>30327.88</v>
          </cell>
        </row>
        <row r="159">
          <cell r="B159" t="str">
            <v>OTHER</v>
          </cell>
          <cell r="I159">
            <v>0</v>
          </cell>
          <cell r="K159">
            <v>0</v>
          </cell>
          <cell r="AA159">
            <v>5000</v>
          </cell>
        </row>
        <row r="160">
          <cell r="B160" t="str">
            <v>OTHER</v>
          </cell>
          <cell r="I160">
            <v>0</v>
          </cell>
          <cell r="K160">
            <v>0</v>
          </cell>
          <cell r="U160">
            <v>-7331</v>
          </cell>
          <cell r="AA160">
            <v>9331</v>
          </cell>
        </row>
        <row r="161">
          <cell r="B161" t="str">
            <v>OTHER</v>
          </cell>
          <cell r="I161">
            <v>0</v>
          </cell>
          <cell r="K161">
            <v>0</v>
          </cell>
          <cell r="AA161">
            <v>0</v>
          </cell>
        </row>
        <row r="162">
          <cell r="B162" t="str">
            <v>OTHER</v>
          </cell>
          <cell r="I162">
            <v>0</v>
          </cell>
          <cell r="K162">
            <v>0</v>
          </cell>
          <cell r="U162">
            <v>-1050</v>
          </cell>
          <cell r="AA162">
            <v>3500</v>
          </cell>
        </row>
        <row r="163">
          <cell r="B163" t="str">
            <v>OTHER</v>
          </cell>
          <cell r="I163">
            <v>-2000</v>
          </cell>
          <cell r="K163">
            <v>0</v>
          </cell>
          <cell r="U163">
            <v>-49224</v>
          </cell>
          <cell r="AA163">
            <v>142081</v>
          </cell>
        </row>
        <row r="164">
          <cell r="B164" t="str">
            <v>REGIONAL COLLABORATION</v>
          </cell>
          <cell r="I164">
            <v>0</v>
          </cell>
          <cell r="K164">
            <v>0</v>
          </cell>
          <cell r="O164">
            <v>457760</v>
          </cell>
          <cell r="AA164">
            <v>739740</v>
          </cell>
        </row>
        <row r="165">
          <cell r="B165" t="str">
            <v>SUBSISTENCE HOTEL &amp; HOSPITALITY</v>
          </cell>
          <cell r="I165">
            <v>0</v>
          </cell>
          <cell r="K165">
            <v>0</v>
          </cell>
          <cell r="AA165">
            <v>0</v>
          </cell>
        </row>
        <row r="166">
          <cell r="B166" t="str">
            <v>SUBSISTENCE HOTEL &amp; HOSPITALITY</v>
          </cell>
          <cell r="I166">
            <v>0</v>
          </cell>
          <cell r="K166">
            <v>0</v>
          </cell>
          <cell r="AA166">
            <v>14000</v>
          </cell>
        </row>
        <row r="167">
          <cell r="B167" t="str">
            <v>SUBSISTENCE HOTEL &amp; HOSPITALITY</v>
          </cell>
          <cell r="I167">
            <v>0</v>
          </cell>
          <cell r="K167">
            <v>0</v>
          </cell>
          <cell r="U167">
            <v>-104937</v>
          </cell>
          <cell r="AA167">
            <v>261765</v>
          </cell>
        </row>
        <row r="168">
          <cell r="B168" t="str">
            <v>SUBSISTENCE HOTEL &amp; HOSPITALITY</v>
          </cell>
          <cell r="I168">
            <v>-3000</v>
          </cell>
          <cell r="K168">
            <v>0</v>
          </cell>
          <cell r="U168">
            <v>-24360</v>
          </cell>
          <cell r="AA168">
            <v>60360</v>
          </cell>
        </row>
        <row r="169">
          <cell r="B169" t="str">
            <v>SUBSISTENCE HOTEL &amp; HOSPITALITY</v>
          </cell>
          <cell r="I169">
            <v>9000</v>
          </cell>
          <cell r="K169">
            <v>0</v>
          </cell>
          <cell r="U169">
            <v>-38277</v>
          </cell>
          <cell r="AA169">
            <v>135939.03</v>
          </cell>
        </row>
        <row r="170">
          <cell r="B170" t="str">
            <v>SUBSISTENCE HOTEL &amp; HOSPITALITY</v>
          </cell>
          <cell r="I170">
            <v>25500</v>
          </cell>
          <cell r="K170">
            <v>0</v>
          </cell>
          <cell r="U170">
            <v>3708</v>
          </cell>
          <cell r="AA170">
            <v>263986</v>
          </cell>
        </row>
        <row r="171">
          <cell r="B171" t="str">
            <v>SUBSISTENCE HOTEL &amp; HOSPITALITY</v>
          </cell>
          <cell r="I171">
            <v>2500</v>
          </cell>
          <cell r="K171">
            <v>0</v>
          </cell>
          <cell r="U171">
            <v>-34846</v>
          </cell>
          <cell r="AA171">
            <v>94392</v>
          </cell>
        </row>
        <row r="172">
          <cell r="B172" t="str">
            <v>SUBSISTENCE HOTEL &amp; HOSPITALITY</v>
          </cell>
          <cell r="I172">
            <v>0</v>
          </cell>
          <cell r="K172">
            <v>0</v>
          </cell>
          <cell r="U172">
            <v>27248</v>
          </cell>
          <cell r="AA172">
            <v>1252</v>
          </cell>
        </row>
        <row r="173">
          <cell r="B173" t="str">
            <v>CAR ALLOWANCES &amp; TRAVEL EXPENSES</v>
          </cell>
          <cell r="I173">
            <v>-5000</v>
          </cell>
          <cell r="K173">
            <v>0</v>
          </cell>
          <cell r="U173">
            <v>27230</v>
          </cell>
          <cell r="AA173">
            <v>242085</v>
          </cell>
        </row>
        <row r="174">
          <cell r="B174" t="str">
            <v>CAR ALLOWANCES &amp; TRAVEL EXPENSES</v>
          </cell>
          <cell r="I174">
            <v>-4000</v>
          </cell>
          <cell r="K174">
            <v>0</v>
          </cell>
          <cell r="O174">
            <v>20000</v>
          </cell>
          <cell r="U174">
            <v>13256</v>
          </cell>
          <cell r="AA174">
            <v>300940</v>
          </cell>
        </row>
        <row r="175">
          <cell r="AA175">
            <v>0</v>
          </cell>
        </row>
        <row r="176">
          <cell r="AA176">
            <v>24865574.210000001</v>
          </cell>
        </row>
        <row r="177">
          <cell r="AA177">
            <v>0</v>
          </cell>
        </row>
        <row r="178">
          <cell r="AA178">
            <v>0</v>
          </cell>
        </row>
        <row r="179">
          <cell r="B179" t="str">
            <v>CONTRACTED SUPPORT SERVICES</v>
          </cell>
          <cell r="I179">
            <v>0</v>
          </cell>
          <cell r="K179">
            <v>0</v>
          </cell>
          <cell r="U179">
            <v>-19625</v>
          </cell>
          <cell r="AA179">
            <v>116688</v>
          </cell>
        </row>
        <row r="180">
          <cell r="B180" t="str">
            <v>CONTRACTED SUPPORT SERVICES</v>
          </cell>
          <cell r="I180">
            <v>0</v>
          </cell>
          <cell r="K180">
            <v>0</v>
          </cell>
          <cell r="U180">
            <v>10802</v>
          </cell>
          <cell r="AA180">
            <v>169524</v>
          </cell>
        </row>
        <row r="181">
          <cell r="B181" t="str">
            <v>AGENCY STAFF</v>
          </cell>
          <cell r="I181">
            <v>-723000</v>
          </cell>
          <cell r="K181">
            <v>9710</v>
          </cell>
          <cell r="P181">
            <v>400000</v>
          </cell>
          <cell r="U181">
            <v>-695238</v>
          </cell>
          <cell r="AA181">
            <v>1562628</v>
          </cell>
        </row>
        <row r="182">
          <cell r="B182" t="str">
            <v>AGENCY STAFF</v>
          </cell>
          <cell r="I182">
            <v>-52000</v>
          </cell>
          <cell r="K182">
            <v>0</v>
          </cell>
          <cell r="U182">
            <v>288987</v>
          </cell>
          <cell r="AA182">
            <v>436083</v>
          </cell>
        </row>
        <row r="183">
          <cell r="B183" t="str">
            <v>AGENCY STAFF</v>
          </cell>
          <cell r="I183">
            <v>-1000</v>
          </cell>
          <cell r="K183">
            <v>0</v>
          </cell>
          <cell r="U183">
            <v>-64450</v>
          </cell>
          <cell r="AA183">
            <v>444670</v>
          </cell>
        </row>
        <row r="184">
          <cell r="B184" t="str">
            <v>AGENCY STAFF</v>
          </cell>
          <cell r="I184">
            <v>0</v>
          </cell>
          <cell r="K184">
            <v>0</v>
          </cell>
          <cell r="U184">
            <v>-3000</v>
          </cell>
          <cell r="AA184">
            <v>84000</v>
          </cell>
        </row>
        <row r="185">
          <cell r="B185" t="str">
            <v>AGENCY STAFF</v>
          </cell>
          <cell r="I185">
            <v>0</v>
          </cell>
          <cell r="K185">
            <v>0</v>
          </cell>
          <cell r="U185">
            <v>695</v>
          </cell>
          <cell r="AA185">
            <v>142928</v>
          </cell>
        </row>
        <row r="186">
          <cell r="B186" t="str">
            <v>AGENCY STAFF</v>
          </cell>
          <cell r="I186">
            <v>-3600</v>
          </cell>
          <cell r="K186">
            <v>0</v>
          </cell>
          <cell r="U186">
            <v>-15544</v>
          </cell>
          <cell r="AA186">
            <v>19144</v>
          </cell>
        </row>
        <row r="187">
          <cell r="B187" t="str">
            <v>CONSULTANCY</v>
          </cell>
          <cell r="I187">
            <v>0</v>
          </cell>
          <cell r="K187">
            <v>0</v>
          </cell>
          <cell r="AA187">
            <v>0</v>
          </cell>
        </row>
        <row r="188">
          <cell r="B188" t="str">
            <v>CONSULTANCY</v>
          </cell>
          <cell r="I188">
            <v>-18819</v>
          </cell>
          <cell r="K188">
            <v>0</v>
          </cell>
          <cell r="U188">
            <v>-70260</v>
          </cell>
          <cell r="AA188">
            <v>229079</v>
          </cell>
        </row>
        <row r="189">
          <cell r="B189" t="str">
            <v>OFFICERS BORROWED FROM OTHER FORCES</v>
          </cell>
          <cell r="I189">
            <v>0</v>
          </cell>
          <cell r="K189">
            <v>0</v>
          </cell>
          <cell r="U189">
            <v>-5000</v>
          </cell>
          <cell r="AA189">
            <v>5000</v>
          </cell>
        </row>
        <row r="190">
          <cell r="B190" t="str">
            <v>OFFICERS BORROWED FROM OTHER FORCES</v>
          </cell>
          <cell r="I190">
            <v>0</v>
          </cell>
          <cell r="K190">
            <v>0</v>
          </cell>
          <cell r="AA190">
            <v>0</v>
          </cell>
        </row>
        <row r="191">
          <cell r="AA191">
            <v>3209744</v>
          </cell>
        </row>
        <row r="192">
          <cell r="AA192">
            <v>0</v>
          </cell>
        </row>
        <row r="193">
          <cell r="AA193">
            <v>0</v>
          </cell>
        </row>
        <row r="194">
          <cell r="B194" t="str">
            <v>CAR ALLOWANCES &amp; TRAVEL EXPENSES</v>
          </cell>
          <cell r="I194">
            <v>0</v>
          </cell>
          <cell r="K194">
            <v>0</v>
          </cell>
          <cell r="AA194">
            <v>0</v>
          </cell>
        </row>
        <row r="195">
          <cell r="B195" t="str">
            <v>CAR ALLOWANCES &amp; TRAVEL EXPENSES</v>
          </cell>
          <cell r="I195">
            <v>-84000</v>
          </cell>
          <cell r="K195">
            <v>0</v>
          </cell>
          <cell r="U195">
            <v>-40053</v>
          </cell>
          <cell r="AA195">
            <v>633431.41999999993</v>
          </cell>
        </row>
        <row r="196">
          <cell r="B196" t="str">
            <v>VEHICLE FLEET</v>
          </cell>
          <cell r="I196">
            <v>-1000</v>
          </cell>
          <cell r="K196">
            <v>0</v>
          </cell>
          <cell r="U196">
            <v>7980</v>
          </cell>
          <cell r="AA196">
            <v>156860</v>
          </cell>
        </row>
        <row r="197">
          <cell r="B197" t="str">
            <v>VEHICLE FLEET</v>
          </cell>
          <cell r="I197">
            <v>0</v>
          </cell>
          <cell r="K197">
            <v>0</v>
          </cell>
          <cell r="U197">
            <v>-1000</v>
          </cell>
          <cell r="AA197">
            <v>40954</v>
          </cell>
        </row>
        <row r="198">
          <cell r="B198" t="str">
            <v>VEHICLE FLEET</v>
          </cell>
          <cell r="I198">
            <v>0</v>
          </cell>
          <cell r="K198">
            <v>0</v>
          </cell>
          <cell r="U198">
            <v>-5000</v>
          </cell>
          <cell r="AA198">
            <v>23000</v>
          </cell>
        </row>
        <row r="199">
          <cell r="B199" t="str">
            <v>VEHICLE FLEET</v>
          </cell>
          <cell r="I199">
            <v>0</v>
          </cell>
          <cell r="K199">
            <v>0</v>
          </cell>
          <cell r="U199">
            <v>-11000</v>
          </cell>
          <cell r="AA199">
            <v>29000</v>
          </cell>
        </row>
        <row r="200">
          <cell r="B200" t="str">
            <v>VEHICLE FLEET</v>
          </cell>
          <cell r="I200">
            <v>0</v>
          </cell>
          <cell r="K200">
            <v>0</v>
          </cell>
          <cell r="U200">
            <v>-32000</v>
          </cell>
          <cell r="AA200">
            <v>452000</v>
          </cell>
        </row>
        <row r="201">
          <cell r="B201" t="str">
            <v>VEHICLE FLEET</v>
          </cell>
          <cell r="I201">
            <v>0</v>
          </cell>
          <cell r="K201">
            <v>0</v>
          </cell>
          <cell r="U201">
            <v>349802</v>
          </cell>
          <cell r="AA201">
            <v>1373991</v>
          </cell>
        </row>
        <row r="202">
          <cell r="B202" t="str">
            <v>VEHICLE FLEET</v>
          </cell>
          <cell r="I202">
            <v>0</v>
          </cell>
          <cell r="K202">
            <v>0</v>
          </cell>
          <cell r="U202">
            <v>-59000</v>
          </cell>
          <cell r="AA202">
            <v>179000</v>
          </cell>
        </row>
        <row r="203">
          <cell r="B203" t="str">
            <v>VEHICLE FLEET</v>
          </cell>
          <cell r="I203">
            <v>0</v>
          </cell>
          <cell r="K203">
            <v>0</v>
          </cell>
          <cell r="U203">
            <v>306000</v>
          </cell>
          <cell r="AA203">
            <v>314000</v>
          </cell>
        </row>
        <row r="204">
          <cell r="B204" t="str">
            <v>VEHICLE FLEET</v>
          </cell>
          <cell r="I204">
            <v>-2450</v>
          </cell>
          <cell r="K204">
            <v>0</v>
          </cell>
          <cell r="U204">
            <v>-43815</v>
          </cell>
          <cell r="AA204">
            <v>81180.679999999993</v>
          </cell>
        </row>
        <row r="205">
          <cell r="B205" t="str">
            <v>VEHICLE FLEET</v>
          </cell>
          <cell r="I205">
            <v>-10400</v>
          </cell>
          <cell r="K205">
            <v>0</v>
          </cell>
          <cell r="U205">
            <v>-363889</v>
          </cell>
          <cell r="AA205">
            <v>2745516</v>
          </cell>
        </row>
        <row r="206">
          <cell r="B206" t="str">
            <v>VEHICLE FLEET</v>
          </cell>
          <cell r="I206">
            <v>0</v>
          </cell>
          <cell r="K206">
            <v>0</v>
          </cell>
          <cell r="AA206">
            <v>0</v>
          </cell>
        </row>
        <row r="207">
          <cell r="B207" t="str">
            <v>VEHICLE FLEET</v>
          </cell>
          <cell r="I207">
            <v>0</v>
          </cell>
          <cell r="K207">
            <v>0</v>
          </cell>
          <cell r="AA207">
            <v>8250</v>
          </cell>
        </row>
        <row r="208">
          <cell r="B208" t="str">
            <v>VEHICLE FLEET</v>
          </cell>
          <cell r="I208">
            <v>-500</v>
          </cell>
          <cell r="K208">
            <v>0</v>
          </cell>
          <cell r="U208">
            <v>-10342</v>
          </cell>
          <cell r="AA208">
            <v>14092</v>
          </cell>
        </row>
        <row r="209">
          <cell r="B209" t="str">
            <v>VEHICLE FLEET</v>
          </cell>
          <cell r="I209">
            <v>0</v>
          </cell>
          <cell r="K209">
            <v>0</v>
          </cell>
          <cell r="U209">
            <v>800</v>
          </cell>
          <cell r="AA209">
            <v>4000</v>
          </cell>
        </row>
        <row r="210">
          <cell r="B210" t="str">
            <v>VEHICLE FLEET</v>
          </cell>
          <cell r="I210">
            <v>-35500</v>
          </cell>
          <cell r="J210">
            <v>12642</v>
          </cell>
          <cell r="K210">
            <v>9030</v>
          </cell>
          <cell r="U210">
            <v>-22144</v>
          </cell>
          <cell r="AA210">
            <v>365162.07</v>
          </cell>
        </row>
        <row r="211">
          <cell r="B211" t="str">
            <v>VEHICLE FLEET</v>
          </cell>
          <cell r="I211">
            <v>0</v>
          </cell>
          <cell r="K211">
            <v>0</v>
          </cell>
          <cell r="U211">
            <v>2206</v>
          </cell>
          <cell r="AA211">
            <v>239794</v>
          </cell>
        </row>
        <row r="212">
          <cell r="B212" t="str">
            <v>VEHICLE FLEET</v>
          </cell>
          <cell r="I212">
            <v>-4000</v>
          </cell>
          <cell r="K212">
            <v>0</v>
          </cell>
          <cell r="U212">
            <v>-15716</v>
          </cell>
          <cell r="AA212">
            <v>25716</v>
          </cell>
        </row>
        <row r="213">
          <cell r="B213" t="str">
            <v>VEHICLE FLEET</v>
          </cell>
          <cell r="I213">
            <v>0</v>
          </cell>
          <cell r="K213">
            <v>0</v>
          </cell>
          <cell r="AA213">
            <v>945000</v>
          </cell>
        </row>
        <row r="214">
          <cell r="B214" t="str">
            <v>VEHICLE FLEET</v>
          </cell>
          <cell r="I214">
            <v>0</v>
          </cell>
          <cell r="K214">
            <v>0</v>
          </cell>
          <cell r="U214">
            <v>-37000</v>
          </cell>
          <cell r="AA214">
            <v>47000</v>
          </cell>
        </row>
        <row r="215">
          <cell r="B215" t="str">
            <v>HELICOPTER</v>
          </cell>
          <cell r="I215">
            <v>0</v>
          </cell>
          <cell r="K215">
            <v>0</v>
          </cell>
          <cell r="O215">
            <v>300000</v>
          </cell>
          <cell r="AA215">
            <v>1675860</v>
          </cell>
        </row>
        <row r="216">
          <cell r="AA216">
            <v>0</v>
          </cell>
        </row>
        <row r="217">
          <cell r="AA217">
            <v>9353807.1700000018</v>
          </cell>
        </row>
        <row r="218">
          <cell r="B218" t="str">
            <v>INCOME</v>
          </cell>
          <cell r="I218">
            <v>0</v>
          </cell>
          <cell r="K218">
            <v>0</v>
          </cell>
          <cell r="U218">
            <v>3121</v>
          </cell>
          <cell r="AA218">
            <v>-3121</v>
          </cell>
        </row>
        <row r="219">
          <cell r="B219" t="str">
            <v>INCOME</v>
          </cell>
          <cell r="I219">
            <v>0</v>
          </cell>
          <cell r="K219">
            <v>0</v>
          </cell>
          <cell r="U219">
            <v>2350</v>
          </cell>
          <cell r="AA219">
            <v>-6500</v>
          </cell>
        </row>
        <row r="220">
          <cell r="B220" t="str">
            <v>INCOME</v>
          </cell>
          <cell r="I220">
            <v>0</v>
          </cell>
          <cell r="K220">
            <v>0</v>
          </cell>
          <cell r="AA220">
            <v>-70000</v>
          </cell>
        </row>
        <row r="221">
          <cell r="B221" t="str">
            <v>INCOME</v>
          </cell>
          <cell r="I221">
            <v>0</v>
          </cell>
          <cell r="K221">
            <v>0</v>
          </cell>
          <cell r="U221">
            <v>28000</v>
          </cell>
          <cell r="AA221">
            <v>-31000</v>
          </cell>
        </row>
        <row r="222">
          <cell r="B222" t="str">
            <v>INCOME</v>
          </cell>
          <cell r="I222">
            <v>0</v>
          </cell>
          <cell r="K222">
            <v>0</v>
          </cell>
          <cell r="AA222">
            <v>0</v>
          </cell>
        </row>
        <row r="223">
          <cell r="B223" t="str">
            <v>INCOME</v>
          </cell>
          <cell r="I223">
            <v>0</v>
          </cell>
          <cell r="K223">
            <v>0</v>
          </cell>
          <cell r="AA223">
            <v>0</v>
          </cell>
        </row>
        <row r="224">
          <cell r="B224" t="str">
            <v>INCOME</v>
          </cell>
          <cell r="I224">
            <v>0</v>
          </cell>
          <cell r="K224">
            <v>0</v>
          </cell>
          <cell r="U224">
            <v>1300</v>
          </cell>
          <cell r="AA224">
            <v>-1300</v>
          </cell>
        </row>
        <row r="225">
          <cell r="B225" t="str">
            <v>INCOME</v>
          </cell>
          <cell r="I225">
            <v>0</v>
          </cell>
          <cell r="K225">
            <v>0</v>
          </cell>
          <cell r="AA225">
            <v>0</v>
          </cell>
        </row>
        <row r="226">
          <cell r="B226" t="str">
            <v>INCOME</v>
          </cell>
          <cell r="I226">
            <v>0</v>
          </cell>
          <cell r="K226">
            <v>0</v>
          </cell>
          <cell r="U226">
            <v>-47817</v>
          </cell>
          <cell r="AA226">
            <v>-803214</v>
          </cell>
        </row>
        <row r="227">
          <cell r="B227" t="str">
            <v>INCOME</v>
          </cell>
          <cell r="I227">
            <v>0</v>
          </cell>
          <cell r="K227">
            <v>0</v>
          </cell>
          <cell r="O227">
            <v>195840</v>
          </cell>
          <cell r="U227">
            <v>-2910</v>
          </cell>
          <cell r="AA227">
            <v>-266090</v>
          </cell>
        </row>
        <row r="228">
          <cell r="B228" t="str">
            <v>INCOME</v>
          </cell>
          <cell r="I228">
            <v>0</v>
          </cell>
          <cell r="K228">
            <v>0</v>
          </cell>
          <cell r="U228">
            <v>8000</v>
          </cell>
          <cell r="AA228">
            <v>-8000</v>
          </cell>
        </row>
        <row r="229">
          <cell r="B229" t="str">
            <v>INCOME</v>
          </cell>
          <cell r="I229">
            <v>0</v>
          </cell>
          <cell r="K229">
            <v>0</v>
          </cell>
          <cell r="AA229">
            <v>0</v>
          </cell>
        </row>
        <row r="230">
          <cell r="B230" t="str">
            <v>INCOME</v>
          </cell>
          <cell r="I230">
            <v>0</v>
          </cell>
          <cell r="K230">
            <v>0</v>
          </cell>
          <cell r="AA230">
            <v>0</v>
          </cell>
        </row>
        <row r="231">
          <cell r="B231" t="str">
            <v>INCOME</v>
          </cell>
          <cell r="I231">
            <v>0</v>
          </cell>
          <cell r="K231">
            <v>0</v>
          </cell>
          <cell r="U231">
            <v>5000</v>
          </cell>
          <cell r="AA231">
            <v>-30000</v>
          </cell>
        </row>
        <row r="232">
          <cell r="B232" t="str">
            <v>INCOME</v>
          </cell>
          <cell r="I232">
            <v>0</v>
          </cell>
          <cell r="K232">
            <v>0</v>
          </cell>
          <cell r="P232">
            <v>-500000</v>
          </cell>
          <cell r="T232">
            <v>-500000</v>
          </cell>
          <cell r="U232">
            <v>238198</v>
          </cell>
          <cell r="AA232">
            <v>-1804307.92</v>
          </cell>
        </row>
        <row r="233">
          <cell r="B233" t="str">
            <v>INCOME</v>
          </cell>
          <cell r="I233">
            <v>0</v>
          </cell>
          <cell r="K233">
            <v>0</v>
          </cell>
          <cell r="U233">
            <v>14380</v>
          </cell>
          <cell r="AA233">
            <v>-230000</v>
          </cell>
        </row>
        <row r="234">
          <cell r="B234" t="str">
            <v>INCOME</v>
          </cell>
          <cell r="I234">
            <v>0</v>
          </cell>
          <cell r="K234">
            <v>0</v>
          </cell>
          <cell r="AA234">
            <v>-1127561.8999999999</v>
          </cell>
        </row>
        <row r="235">
          <cell r="B235" t="str">
            <v>INCOME</v>
          </cell>
          <cell r="I235">
            <v>0</v>
          </cell>
          <cell r="K235">
            <v>0</v>
          </cell>
          <cell r="AA235">
            <v>0</v>
          </cell>
        </row>
        <row r="236">
          <cell r="B236" t="str">
            <v>INCOME</v>
          </cell>
          <cell r="I236">
            <v>0</v>
          </cell>
          <cell r="K236">
            <v>0</v>
          </cell>
          <cell r="U236">
            <v>-145000</v>
          </cell>
          <cell r="AA236">
            <v>-250000</v>
          </cell>
        </row>
        <row r="237">
          <cell r="B237" t="str">
            <v>INCOME</v>
          </cell>
          <cell r="I237">
            <v>0</v>
          </cell>
          <cell r="K237">
            <v>0</v>
          </cell>
          <cell r="U237">
            <v>-77423</v>
          </cell>
          <cell r="AA237">
            <v>-11623</v>
          </cell>
        </row>
        <row r="238">
          <cell r="B238" t="str">
            <v>INCOME</v>
          </cell>
          <cell r="I238">
            <v>0</v>
          </cell>
          <cell r="K238">
            <v>0</v>
          </cell>
          <cell r="U238">
            <v>30000</v>
          </cell>
          <cell r="AA238">
            <v>-30000</v>
          </cell>
        </row>
        <row r="239">
          <cell r="B239" t="str">
            <v>INCOME</v>
          </cell>
          <cell r="I239">
            <v>0</v>
          </cell>
          <cell r="K239">
            <v>0</v>
          </cell>
          <cell r="U239">
            <v>1000</v>
          </cell>
          <cell r="AA239">
            <v>-1000</v>
          </cell>
        </row>
        <row r="240">
          <cell r="B240" t="str">
            <v>INCOME</v>
          </cell>
          <cell r="I240">
            <v>0</v>
          </cell>
          <cell r="K240">
            <v>0</v>
          </cell>
          <cell r="AA240">
            <v>-20000</v>
          </cell>
        </row>
        <row r="241">
          <cell r="B241" t="str">
            <v>INCOME</v>
          </cell>
          <cell r="I241">
            <v>0</v>
          </cell>
          <cell r="K241">
            <v>0</v>
          </cell>
          <cell r="U241">
            <v>-23000</v>
          </cell>
          <cell r="AA241">
            <v>-290000</v>
          </cell>
        </row>
        <row r="242">
          <cell r="B242" t="str">
            <v>INCOME</v>
          </cell>
          <cell r="I242">
            <v>0</v>
          </cell>
          <cell r="K242">
            <v>0</v>
          </cell>
          <cell r="AA242">
            <v>-20000</v>
          </cell>
        </row>
        <row r="243">
          <cell r="B243" t="str">
            <v>INCOME</v>
          </cell>
          <cell r="I243">
            <v>0</v>
          </cell>
          <cell r="K243">
            <v>0</v>
          </cell>
          <cell r="U243">
            <v>-40000</v>
          </cell>
          <cell r="AA243">
            <v>-255000</v>
          </cell>
        </row>
        <row r="244">
          <cell r="B244" t="str">
            <v>INCOME</v>
          </cell>
          <cell r="I244">
            <v>0</v>
          </cell>
          <cell r="K244">
            <v>0</v>
          </cell>
          <cell r="AA244">
            <v>-25000</v>
          </cell>
        </row>
        <row r="245">
          <cell r="B245" t="str">
            <v>INCOME</v>
          </cell>
          <cell r="I245">
            <v>0</v>
          </cell>
          <cell r="K245">
            <v>0</v>
          </cell>
          <cell r="U245">
            <v>-3000</v>
          </cell>
          <cell r="AA245">
            <v>-5000</v>
          </cell>
        </row>
        <row r="246">
          <cell r="B246" t="str">
            <v>INCOME</v>
          </cell>
          <cell r="I246">
            <v>0</v>
          </cell>
          <cell r="K246">
            <v>0</v>
          </cell>
          <cell r="AA246">
            <v>0</v>
          </cell>
        </row>
        <row r="247">
          <cell r="B247" t="str">
            <v>INCOME</v>
          </cell>
          <cell r="I247">
            <v>0</v>
          </cell>
          <cell r="K247">
            <v>0</v>
          </cell>
          <cell r="U247">
            <v>36720</v>
          </cell>
          <cell r="AA247">
            <v>-1612500</v>
          </cell>
        </row>
        <row r="248">
          <cell r="B248" t="str">
            <v>INCOME</v>
          </cell>
          <cell r="I248">
            <v>0</v>
          </cell>
          <cell r="K248">
            <v>0</v>
          </cell>
          <cell r="U248">
            <v>7000</v>
          </cell>
          <cell r="AA248">
            <v>-357000</v>
          </cell>
        </row>
        <row r="249">
          <cell r="B249" t="str">
            <v>INCOME</v>
          </cell>
          <cell r="I249">
            <v>0</v>
          </cell>
          <cell r="K249">
            <v>0</v>
          </cell>
          <cell r="U249">
            <v>-3000</v>
          </cell>
          <cell r="AA249">
            <v>-12000</v>
          </cell>
        </row>
        <row r="250">
          <cell r="B250" t="str">
            <v>INCOME</v>
          </cell>
          <cell r="U250">
            <v>-965869</v>
          </cell>
          <cell r="AA250">
            <v>0</v>
          </cell>
        </row>
        <row r="251">
          <cell r="B251" t="str">
            <v>INCOME</v>
          </cell>
          <cell r="I251">
            <v>0</v>
          </cell>
          <cell r="K251">
            <v>0</v>
          </cell>
          <cell r="U251">
            <v>20000</v>
          </cell>
          <cell r="AA251">
            <v>-70000</v>
          </cell>
        </row>
        <row r="252">
          <cell r="B252" t="str">
            <v>INCOME</v>
          </cell>
          <cell r="I252">
            <v>0</v>
          </cell>
          <cell r="K252">
            <v>0</v>
          </cell>
          <cell r="U252">
            <v>-252461</v>
          </cell>
          <cell r="AA252">
            <v>-1084992</v>
          </cell>
        </row>
        <row r="253">
          <cell r="B253" t="str">
            <v>INCOME</v>
          </cell>
          <cell r="I253">
            <v>0</v>
          </cell>
          <cell r="K253">
            <v>0</v>
          </cell>
          <cell r="U253">
            <v>-58000</v>
          </cell>
          <cell r="AA253">
            <v>-382000</v>
          </cell>
        </row>
        <row r="254">
          <cell r="B254" t="str">
            <v>INCOME</v>
          </cell>
          <cell r="I254">
            <v>0</v>
          </cell>
          <cell r="K254">
            <v>0</v>
          </cell>
          <cell r="U254">
            <v>-3000</v>
          </cell>
          <cell r="AA254">
            <v>-548838.16</v>
          </cell>
        </row>
        <row r="255">
          <cell r="B255" t="str">
            <v>INCOME</v>
          </cell>
          <cell r="I255">
            <v>0</v>
          </cell>
          <cell r="K255">
            <v>0</v>
          </cell>
          <cell r="AA255">
            <v>-15000</v>
          </cell>
        </row>
        <row r="256">
          <cell r="B256" t="str">
            <v>INCOME</v>
          </cell>
          <cell r="I256">
            <v>0</v>
          </cell>
          <cell r="K256">
            <v>0</v>
          </cell>
          <cell r="AA256">
            <v>-148574.43</v>
          </cell>
        </row>
        <row r="257">
          <cell r="B257" t="str">
            <v>INCOME</v>
          </cell>
          <cell r="I257">
            <v>0</v>
          </cell>
          <cell r="K257">
            <v>0</v>
          </cell>
          <cell r="AA257">
            <v>-1417159.56</v>
          </cell>
        </row>
        <row r="258">
          <cell r="B258" t="str">
            <v>INCOME</v>
          </cell>
          <cell r="I258">
            <v>0</v>
          </cell>
          <cell r="K258">
            <v>0</v>
          </cell>
          <cell r="AA258">
            <v>0</v>
          </cell>
        </row>
        <row r="259">
          <cell r="B259" t="str">
            <v>INCOME</v>
          </cell>
          <cell r="I259">
            <v>0</v>
          </cell>
          <cell r="K259">
            <v>0</v>
          </cell>
          <cell r="AA259">
            <v>-318892</v>
          </cell>
        </row>
        <row r="260">
          <cell r="B260" t="str">
            <v>INCOME</v>
          </cell>
          <cell r="I260">
            <v>0</v>
          </cell>
          <cell r="K260">
            <v>0</v>
          </cell>
          <cell r="AA260">
            <v>-1696577</v>
          </cell>
        </row>
        <row r="261">
          <cell r="B261" t="str">
            <v>INCOME</v>
          </cell>
          <cell r="I261">
            <v>0</v>
          </cell>
          <cell r="K261">
            <v>0</v>
          </cell>
          <cell r="AA261">
            <v>0</v>
          </cell>
        </row>
        <row r="262">
          <cell r="B262" t="str">
            <v>INCOME</v>
          </cell>
          <cell r="I262">
            <v>196743</v>
          </cell>
          <cell r="K262">
            <v>0</v>
          </cell>
          <cell r="O262">
            <v>1055368</v>
          </cell>
          <cell r="AA262">
            <v>-3254884</v>
          </cell>
        </row>
        <row r="263">
          <cell r="B263" t="str">
            <v>INCOME</v>
          </cell>
          <cell r="I263">
            <v>0</v>
          </cell>
          <cell r="K263">
            <v>0</v>
          </cell>
          <cell r="AA263">
            <v>-636620.02</v>
          </cell>
        </row>
        <row r="264">
          <cell r="B264" t="str">
            <v>INCOME</v>
          </cell>
          <cell r="I264">
            <v>0</v>
          </cell>
          <cell r="K264">
            <v>0</v>
          </cell>
          <cell r="AA264">
            <v>-12329000</v>
          </cell>
        </row>
        <row r="265">
          <cell r="B265" t="str">
            <v>INCOME</v>
          </cell>
          <cell r="I265">
            <v>0</v>
          </cell>
          <cell r="K265">
            <v>0</v>
          </cell>
          <cell r="AA265">
            <v>-681651.16999999993</v>
          </cell>
        </row>
        <row r="266">
          <cell r="B266" t="str">
            <v>INCOME</v>
          </cell>
          <cell r="I266">
            <v>0</v>
          </cell>
          <cell r="K266">
            <v>0</v>
          </cell>
          <cell r="AA266">
            <v>-414000.81</v>
          </cell>
        </row>
        <row r="267">
          <cell r="B267" t="str">
            <v>INCOME</v>
          </cell>
          <cell r="I267">
            <v>0</v>
          </cell>
          <cell r="K267">
            <v>0</v>
          </cell>
          <cell r="AA267">
            <v>-844877</v>
          </cell>
        </row>
        <row r="268">
          <cell r="B268" t="str">
            <v>INCOME</v>
          </cell>
          <cell r="I268">
            <v>0</v>
          </cell>
          <cell r="K268">
            <v>0</v>
          </cell>
          <cell r="AA268">
            <v>0</v>
          </cell>
        </row>
        <row r="269">
          <cell r="B269" t="str">
            <v>INCOME</v>
          </cell>
          <cell r="I269">
            <v>0</v>
          </cell>
          <cell r="K269">
            <v>0</v>
          </cell>
          <cell r="AA269">
            <v>-889064.76</v>
          </cell>
        </row>
        <row r="270">
          <cell r="B270" t="str">
            <v>INCOME</v>
          </cell>
          <cell r="AA270">
            <v>0</v>
          </cell>
        </row>
        <row r="271">
          <cell r="B271" t="str">
            <v>INTERNAL RECHARGES</v>
          </cell>
          <cell r="I271">
            <v>0</v>
          </cell>
          <cell r="K271">
            <v>0</v>
          </cell>
          <cell r="O271">
            <v>1098000</v>
          </cell>
          <cell r="AA271">
            <v>-2345618</v>
          </cell>
        </row>
        <row r="272">
          <cell r="B272" t="str">
            <v>INTERNAL RECHARGES</v>
          </cell>
          <cell r="I272">
            <v>0</v>
          </cell>
          <cell r="K272">
            <v>0</v>
          </cell>
          <cell r="AA272">
            <v>80000</v>
          </cell>
        </row>
        <row r="273">
          <cell r="B273" t="str">
            <v>INTERNAL RECHARGES</v>
          </cell>
          <cell r="I273">
            <v>0</v>
          </cell>
          <cell r="K273">
            <v>0</v>
          </cell>
          <cell r="U273">
            <v>-200177</v>
          </cell>
          <cell r="AA273">
            <v>-2492025</v>
          </cell>
        </row>
        <row r="274">
          <cell r="B274" t="str">
            <v>INTERNAL RECHARGES</v>
          </cell>
          <cell r="I274">
            <v>0</v>
          </cell>
          <cell r="K274">
            <v>0</v>
          </cell>
          <cell r="AA274">
            <v>0</v>
          </cell>
        </row>
        <row r="275">
          <cell r="B275" t="str">
            <v>INTERNAL RECHARGES</v>
          </cell>
          <cell r="I275">
            <v>0</v>
          </cell>
          <cell r="K275">
            <v>0</v>
          </cell>
          <cell r="AA275">
            <v>978841</v>
          </cell>
        </row>
        <row r="276">
          <cell r="B276" t="str">
            <v>INTERNAL RECHARGES</v>
          </cell>
          <cell r="I276">
            <v>0</v>
          </cell>
          <cell r="K276">
            <v>0</v>
          </cell>
          <cell r="AA276">
            <v>0</v>
          </cell>
        </row>
        <row r="277">
          <cell r="B277" t="str">
            <v>INTERNAL RECHARGES</v>
          </cell>
          <cell r="I277">
            <v>0</v>
          </cell>
          <cell r="K277">
            <v>0</v>
          </cell>
          <cell r="P277">
            <v>237324</v>
          </cell>
          <cell r="AA277">
            <v>-554834</v>
          </cell>
        </row>
        <row r="278">
          <cell r="B278" t="str">
            <v>INTERNAL RECHARGES</v>
          </cell>
          <cell r="I278">
            <v>0</v>
          </cell>
          <cell r="K278">
            <v>0</v>
          </cell>
          <cell r="U278">
            <v>-24860</v>
          </cell>
          <cell r="AA278">
            <v>-915140</v>
          </cell>
        </row>
        <row r="279">
          <cell r="B279" t="str">
            <v>INTERNAL RECHARGES</v>
          </cell>
          <cell r="I279">
            <v>0</v>
          </cell>
          <cell r="K279">
            <v>0</v>
          </cell>
          <cell r="U279">
            <v>77000</v>
          </cell>
          <cell r="AA279">
            <v>-314000</v>
          </cell>
        </row>
        <row r="280">
          <cell r="B280" t="str">
            <v>INTERNAL RECHARGES</v>
          </cell>
          <cell r="I280">
            <v>0</v>
          </cell>
          <cell r="K280">
            <v>0</v>
          </cell>
          <cell r="AA280">
            <v>0</v>
          </cell>
        </row>
        <row r="281">
          <cell r="B281" t="str">
            <v>INTERNAL RECHARGES</v>
          </cell>
          <cell r="I281">
            <v>0</v>
          </cell>
          <cell r="K281">
            <v>0</v>
          </cell>
          <cell r="AA281">
            <v>-317059</v>
          </cell>
        </row>
        <row r="282">
          <cell r="B282" t="str">
            <v>INTERNAL RECHARGES</v>
          </cell>
          <cell r="I282">
            <v>0</v>
          </cell>
          <cell r="K282">
            <v>0</v>
          </cell>
          <cell r="AA282">
            <v>-129426</v>
          </cell>
        </row>
        <row r="283">
          <cell r="B283" t="str">
            <v>INTERNAL RECHARGES</v>
          </cell>
          <cell r="O283">
            <v>400000</v>
          </cell>
          <cell r="AA283">
            <v>12968398</v>
          </cell>
        </row>
        <row r="284">
          <cell r="AA284">
            <v>-25043211.73</v>
          </cell>
        </row>
        <row r="285">
          <cell r="AA285">
            <v>0</v>
          </cell>
        </row>
        <row r="286">
          <cell r="AA286">
            <v>365726762.80999994</v>
          </cell>
        </row>
        <row r="287">
          <cell r="AA287">
            <v>0</v>
          </cell>
        </row>
      </sheetData>
      <sheetData sheetId="15">
        <row r="2">
          <cell r="L2" t="str">
            <v>Revised estimate 2016-17</v>
          </cell>
        </row>
        <row r="3">
          <cell r="L3">
            <v>0</v>
          </cell>
        </row>
        <row r="5">
          <cell r="B5" t="str">
            <v>Police Pay</v>
          </cell>
          <cell r="L5">
            <v>10000</v>
          </cell>
        </row>
        <row r="6">
          <cell r="B6" t="str">
            <v>Police Pay</v>
          </cell>
          <cell r="L6">
            <v>0</v>
          </cell>
        </row>
        <row r="7">
          <cell r="B7" t="str">
            <v>Police Pay</v>
          </cell>
          <cell r="L7">
            <v>2708844</v>
          </cell>
          <cell r="N7">
            <v>11286.85</v>
          </cell>
          <cell r="W7">
            <v>15867.429958333334</v>
          </cell>
        </row>
        <row r="8">
          <cell r="B8" t="str">
            <v>Police Pay</v>
          </cell>
          <cell r="L8">
            <v>-1429.15</v>
          </cell>
        </row>
        <row r="9">
          <cell r="G9">
            <v>-1429.15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2717414.85</v>
          </cell>
          <cell r="N9">
            <v>11286.85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W9">
            <v>15867.429958333334</v>
          </cell>
        </row>
        <row r="10">
          <cell r="B10" t="str">
            <v>Police Overtime</v>
          </cell>
          <cell r="L10">
            <v>185429.15</v>
          </cell>
        </row>
        <row r="11">
          <cell r="B11" t="str">
            <v>Police Overtime</v>
          </cell>
          <cell r="L11">
            <v>0</v>
          </cell>
        </row>
        <row r="12">
          <cell r="G12">
            <v>1429.15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185429.15</v>
          </cell>
          <cell r="N12">
            <v>772.62145833333329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W12">
            <v>1086.1770001736111</v>
          </cell>
        </row>
        <row r="13">
          <cell r="B13" t="str">
            <v>Police Overtime</v>
          </cell>
          <cell r="L13">
            <v>0</v>
          </cell>
        </row>
        <row r="14">
          <cell r="B14" t="str">
            <v>Police Overtime</v>
          </cell>
          <cell r="L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W15">
            <v>0</v>
          </cell>
        </row>
        <row r="16">
          <cell r="B16" t="str">
            <v>SUPPORT STAFF PAY AND ALLOWANCES</v>
          </cell>
          <cell r="L16">
            <v>0</v>
          </cell>
        </row>
        <row r="17">
          <cell r="B17" t="str">
            <v>SUPPORT STAFF PAY AND ALLOWANCES</v>
          </cell>
          <cell r="L17">
            <v>0</v>
          </cell>
        </row>
        <row r="18">
          <cell r="B18" t="str">
            <v>SUPPORT STAFF PAY AND ALLOWANCES</v>
          </cell>
          <cell r="L18">
            <v>-1087422.2</v>
          </cell>
        </row>
        <row r="19">
          <cell r="B19" t="str">
            <v>SUPPORT STAFF PAY AND ALLOWANCES</v>
          </cell>
          <cell r="L19">
            <v>12059410.439999999</v>
          </cell>
        </row>
        <row r="20">
          <cell r="B20" t="str">
            <v>SUPPORT STAFF PAY AND ALLOWANCES</v>
          </cell>
          <cell r="L20">
            <v>76000</v>
          </cell>
        </row>
        <row r="21">
          <cell r="B21" t="str">
            <v>SUPPORT STAFF PAY AND ALLOWANCES</v>
          </cell>
          <cell r="L21">
            <v>0</v>
          </cell>
        </row>
        <row r="22">
          <cell r="B22" t="str">
            <v>SUPPORT STAFF PAY AND ALLOWANCES</v>
          </cell>
          <cell r="L22">
            <v>0</v>
          </cell>
        </row>
        <row r="23">
          <cell r="B23" t="str">
            <v>SUPPORT STAFF PAY AND ALLOWANCES</v>
          </cell>
          <cell r="L23">
            <v>0</v>
          </cell>
        </row>
        <row r="24">
          <cell r="B24" t="str">
            <v>SUPPORT STAFF PAY AND ALLOWANCES</v>
          </cell>
          <cell r="L24">
            <v>0</v>
          </cell>
        </row>
        <row r="25">
          <cell r="B25" t="str">
            <v>SUPPORT STAFF PAY AND ALLOWANCES</v>
          </cell>
          <cell r="L25">
            <v>0</v>
          </cell>
        </row>
        <row r="26">
          <cell r="B26" t="str">
            <v>SUPPORT STAFF PAY AND ALLOWANCES</v>
          </cell>
          <cell r="L26">
            <v>0</v>
          </cell>
        </row>
        <row r="27">
          <cell r="B27" t="str">
            <v>SUPPORT STAFF PAY AND ALLOWANCES</v>
          </cell>
          <cell r="L27">
            <v>0</v>
          </cell>
        </row>
        <row r="28">
          <cell r="B28" t="str">
            <v>SUPPORT STAFF PAY AND ALLOWANCES</v>
          </cell>
          <cell r="L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12135410.439999999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W29">
            <v>70346.560899999997</v>
          </cell>
        </row>
        <row r="30">
          <cell r="B30" t="str">
            <v>SUPPORT STAFF OVERTIME</v>
          </cell>
          <cell r="L30">
            <v>105000</v>
          </cell>
        </row>
        <row r="31">
          <cell r="B31" t="str">
            <v>SUPPORT STAFF OVERTIME</v>
          </cell>
          <cell r="L31">
            <v>51000</v>
          </cell>
        </row>
        <row r="32">
          <cell r="B32" t="str">
            <v>SUPPORT STAFF OVERTIME</v>
          </cell>
          <cell r="L32">
            <v>1000</v>
          </cell>
        </row>
        <row r="33">
          <cell r="B33" t="str">
            <v>SUPPORT STAFF OVERTIME</v>
          </cell>
          <cell r="L33">
            <v>0</v>
          </cell>
        </row>
        <row r="34">
          <cell r="B34" t="str">
            <v>SUPPORT STAFF OVERTIME</v>
          </cell>
          <cell r="L34">
            <v>0</v>
          </cell>
        </row>
        <row r="35">
          <cell r="B35" t="str">
            <v>TRAINING</v>
          </cell>
          <cell r="L35">
            <v>163846</v>
          </cell>
        </row>
        <row r="36">
          <cell r="B36" t="str">
            <v>SUPPORT STAFF OVERTIME</v>
          </cell>
          <cell r="L36">
            <v>1000</v>
          </cell>
        </row>
        <row r="37">
          <cell r="B37" t="str">
            <v>SUPPORT STAFF OVERTIME</v>
          </cell>
          <cell r="L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321846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910</v>
          </cell>
        </row>
        <row r="40">
          <cell r="L40">
            <v>14272678.24</v>
          </cell>
        </row>
        <row r="41">
          <cell r="L41">
            <v>0</v>
          </cell>
        </row>
        <row r="42">
          <cell r="B42" t="str">
            <v>BUILDINGS MAINTENANCE</v>
          </cell>
          <cell r="L42">
            <v>0</v>
          </cell>
        </row>
        <row r="43">
          <cell r="B43" t="str">
            <v>BUILDINGS MAINTENANCE</v>
          </cell>
          <cell r="L43">
            <v>17408</v>
          </cell>
        </row>
        <row r="44">
          <cell r="B44" t="str">
            <v>BUILDINGS MAINTENANCE</v>
          </cell>
          <cell r="L44">
            <v>0</v>
          </cell>
        </row>
        <row r="45">
          <cell r="B45" t="str">
            <v>BUILDINGS MAINTENANCE</v>
          </cell>
          <cell r="L45">
            <v>0</v>
          </cell>
        </row>
        <row r="46">
          <cell r="B46" t="str">
            <v>BUILDINGS MAINTENANCE</v>
          </cell>
          <cell r="L46">
            <v>0</v>
          </cell>
        </row>
        <row r="47">
          <cell r="B47" t="str">
            <v>BUILDINGS MAINTENANCE</v>
          </cell>
          <cell r="L47">
            <v>0</v>
          </cell>
        </row>
        <row r="48">
          <cell r="B48" t="str">
            <v>BUILDINGS MAINTENANCE</v>
          </cell>
          <cell r="L48">
            <v>0</v>
          </cell>
        </row>
        <row r="49">
          <cell r="B49" t="str">
            <v>BUILDINGS MAINTENANCE</v>
          </cell>
          <cell r="L49">
            <v>0</v>
          </cell>
        </row>
        <row r="50">
          <cell r="B50" t="str">
            <v xml:space="preserve">ENERGY </v>
          </cell>
          <cell r="L50">
            <v>5000</v>
          </cell>
        </row>
        <row r="51">
          <cell r="B51" t="str">
            <v xml:space="preserve">ENERGY </v>
          </cell>
          <cell r="L51">
            <v>64000</v>
          </cell>
        </row>
        <row r="52">
          <cell r="B52" t="str">
            <v>OTHER</v>
          </cell>
          <cell r="L52">
            <v>500</v>
          </cell>
        </row>
        <row r="53">
          <cell r="B53" t="str">
            <v>OTHER</v>
          </cell>
          <cell r="L53">
            <v>0</v>
          </cell>
        </row>
        <row r="54">
          <cell r="B54" t="str">
            <v>OTHER</v>
          </cell>
          <cell r="L54">
            <v>12000</v>
          </cell>
        </row>
        <row r="55">
          <cell r="B55" t="str">
            <v>OTHER</v>
          </cell>
          <cell r="L55">
            <v>0</v>
          </cell>
        </row>
        <row r="56">
          <cell r="B56" t="str">
            <v>OTHER</v>
          </cell>
          <cell r="L56">
            <v>0</v>
          </cell>
        </row>
        <row r="57">
          <cell r="B57" t="str">
            <v>CLEANING CONTRACT</v>
          </cell>
          <cell r="L57">
            <v>0</v>
          </cell>
        </row>
        <row r="58">
          <cell r="B58" t="str">
            <v>OTHER</v>
          </cell>
          <cell r="L58">
            <v>11200</v>
          </cell>
        </row>
        <row r="59">
          <cell r="B59" t="str">
            <v>OTHER</v>
          </cell>
          <cell r="L59">
            <v>1500</v>
          </cell>
        </row>
        <row r="60">
          <cell r="B60" t="str">
            <v>RENT AND RATES</v>
          </cell>
          <cell r="L60">
            <v>296000</v>
          </cell>
        </row>
        <row r="61">
          <cell r="B61" t="str">
            <v>RENT AND RATES</v>
          </cell>
          <cell r="L61">
            <v>37000</v>
          </cell>
        </row>
        <row r="62">
          <cell r="B62" t="str">
            <v>OTHER</v>
          </cell>
          <cell r="L62">
            <v>1000</v>
          </cell>
        </row>
        <row r="63">
          <cell r="B63" t="str">
            <v xml:space="preserve">ENERGY </v>
          </cell>
          <cell r="L63">
            <v>0</v>
          </cell>
        </row>
        <row r="64">
          <cell r="B64" t="str">
            <v>BUILDINGS MAINTENANCE</v>
          </cell>
          <cell r="L64">
            <v>14300</v>
          </cell>
        </row>
        <row r="65">
          <cell r="B65" t="str">
            <v xml:space="preserve">ENERGY </v>
          </cell>
          <cell r="L65">
            <v>0</v>
          </cell>
        </row>
        <row r="66">
          <cell r="L66">
            <v>459908</v>
          </cell>
        </row>
        <row r="67">
          <cell r="L67">
            <v>0</v>
          </cell>
        </row>
        <row r="68">
          <cell r="B68" t="str">
            <v>COMPUTERS AND COMMUNICATIONS</v>
          </cell>
          <cell r="L68">
            <v>0</v>
          </cell>
        </row>
        <row r="69">
          <cell r="B69" t="str">
            <v>COMPUTERS AND COMMUNICATIONS</v>
          </cell>
          <cell r="L69">
            <v>21000</v>
          </cell>
        </row>
        <row r="70">
          <cell r="B70" t="str">
            <v>COMPUTERS AND COMMUNICATIONS</v>
          </cell>
          <cell r="L70">
            <v>0</v>
          </cell>
        </row>
        <row r="71">
          <cell r="B71" t="str">
            <v>COMPUTERS AND COMMUNICATIONS</v>
          </cell>
          <cell r="L71">
            <v>15700</v>
          </cell>
        </row>
        <row r="72">
          <cell r="B72" t="str">
            <v>COMPUTERS AND COMMUNICATIONS</v>
          </cell>
          <cell r="L72">
            <v>0</v>
          </cell>
        </row>
        <row r="73">
          <cell r="B73" t="str">
            <v>COMPUTERS AND COMMUNICATIONS</v>
          </cell>
          <cell r="L73">
            <v>0</v>
          </cell>
        </row>
        <row r="74">
          <cell r="B74" t="str">
            <v>COMPUTERS AND COMMUNICATIONS</v>
          </cell>
          <cell r="L74">
            <v>600</v>
          </cell>
        </row>
        <row r="75">
          <cell r="B75" t="str">
            <v>COMPUTERS AND COMMUNICATIONS</v>
          </cell>
          <cell r="L75">
            <v>0</v>
          </cell>
        </row>
        <row r="76">
          <cell r="B76" t="str">
            <v>COMPUTERS AND COMMUNICATIONS</v>
          </cell>
          <cell r="L76">
            <v>232904.31</v>
          </cell>
        </row>
        <row r="77">
          <cell r="B77" t="str">
            <v>COMPUTERS AND COMMUNICATIONS</v>
          </cell>
          <cell r="L77">
            <v>-52170</v>
          </cell>
        </row>
        <row r="78">
          <cell r="B78" t="str">
            <v>COMPUTERS AND COMMUNICATIONS</v>
          </cell>
          <cell r="L78">
            <v>86200</v>
          </cell>
        </row>
        <row r="79">
          <cell r="B79" t="str">
            <v>COMPUTERS AND COMMUNICATIONS</v>
          </cell>
          <cell r="L79">
            <v>0</v>
          </cell>
        </row>
        <row r="80">
          <cell r="B80" t="str">
            <v>COMPUTERS AND COMMUNICATIONS</v>
          </cell>
          <cell r="L80">
            <v>0</v>
          </cell>
        </row>
        <row r="81">
          <cell r="B81" t="str">
            <v>COMPUTERS AND COMMUNICATIONS</v>
          </cell>
          <cell r="L81">
            <v>0</v>
          </cell>
        </row>
        <row r="82">
          <cell r="B82" t="str">
            <v>COMPUTERS AND COMMUNICATIONS</v>
          </cell>
          <cell r="L82">
            <v>0</v>
          </cell>
        </row>
        <row r="83">
          <cell r="B83" t="str">
            <v>OTHER</v>
          </cell>
          <cell r="L83">
            <v>0</v>
          </cell>
        </row>
        <row r="84">
          <cell r="B84" t="str">
            <v>OTHER</v>
          </cell>
          <cell r="L84">
            <v>0</v>
          </cell>
        </row>
        <row r="85">
          <cell r="B85" t="str">
            <v>CLOTHING</v>
          </cell>
          <cell r="L85">
            <v>0</v>
          </cell>
        </row>
        <row r="86">
          <cell r="B86" t="str">
            <v>CLOTHING</v>
          </cell>
          <cell r="L86">
            <v>0</v>
          </cell>
        </row>
        <row r="87">
          <cell r="B87" t="str">
            <v>CLOTHING</v>
          </cell>
          <cell r="L87">
            <v>9500</v>
          </cell>
        </row>
        <row r="88">
          <cell r="B88" t="str">
            <v>CLOTHING</v>
          </cell>
          <cell r="L88">
            <v>0</v>
          </cell>
        </row>
        <row r="89">
          <cell r="B89" t="str">
            <v>CLOTHING</v>
          </cell>
          <cell r="L89">
            <v>0</v>
          </cell>
        </row>
        <row r="90">
          <cell r="B90" t="str">
            <v>CLOTHING</v>
          </cell>
          <cell r="L90">
            <v>0</v>
          </cell>
        </row>
        <row r="91">
          <cell r="B91" t="str">
            <v>MEDICAL EXPENSES</v>
          </cell>
          <cell r="L91">
            <v>0</v>
          </cell>
        </row>
        <row r="92">
          <cell r="B92" t="str">
            <v>MEDICAL EXPENSES</v>
          </cell>
          <cell r="L92">
            <v>0</v>
          </cell>
        </row>
        <row r="93">
          <cell r="B93" t="str">
            <v>FORENSIC</v>
          </cell>
          <cell r="L93">
            <v>7098116.4400000004</v>
          </cell>
        </row>
        <row r="94">
          <cell r="B94" t="str">
            <v>MEDICAL EXPENSES</v>
          </cell>
          <cell r="L94">
            <v>0</v>
          </cell>
        </row>
        <row r="95">
          <cell r="B95" t="str">
            <v>MEDICAL EXPENSES</v>
          </cell>
          <cell r="L95">
            <v>0</v>
          </cell>
        </row>
        <row r="96">
          <cell r="B96" t="str">
            <v>MEDICAL EXPENSES</v>
          </cell>
          <cell r="L96">
            <v>0</v>
          </cell>
        </row>
        <row r="97">
          <cell r="B97" t="str">
            <v>MEDICAL EXPENSES</v>
          </cell>
          <cell r="L97">
            <v>0</v>
          </cell>
        </row>
        <row r="98">
          <cell r="B98" t="str">
            <v>MEDICAL EXPENSES</v>
          </cell>
          <cell r="L98">
            <v>0</v>
          </cell>
        </row>
        <row r="99">
          <cell r="B99" t="str">
            <v>MEDICAL EXPENSES</v>
          </cell>
          <cell r="L99">
            <v>0</v>
          </cell>
        </row>
        <row r="100">
          <cell r="B100" t="str">
            <v>FORENSIC</v>
          </cell>
          <cell r="L100">
            <v>3000</v>
          </cell>
        </row>
        <row r="101">
          <cell r="B101" t="str">
            <v>FORENSIC</v>
          </cell>
          <cell r="L101">
            <v>615938</v>
          </cell>
        </row>
        <row r="102">
          <cell r="B102" t="str">
            <v>FORENSIC</v>
          </cell>
          <cell r="L102">
            <v>0</v>
          </cell>
        </row>
        <row r="103">
          <cell r="B103" t="str">
            <v>OTHER</v>
          </cell>
          <cell r="L103">
            <v>0</v>
          </cell>
        </row>
        <row r="104">
          <cell r="B104" t="str">
            <v>OPERATIONAL &amp; ADMIN EQUIPMENT</v>
          </cell>
          <cell r="L104">
            <v>0</v>
          </cell>
        </row>
        <row r="105">
          <cell r="B105" t="str">
            <v>OPERATIONAL &amp; ADMIN EQUIPMENT</v>
          </cell>
          <cell r="L105">
            <v>0</v>
          </cell>
        </row>
        <row r="106">
          <cell r="B106" t="str">
            <v>OPERATIONAL &amp; ADMIN EQUIPMENT</v>
          </cell>
          <cell r="L106">
            <v>0</v>
          </cell>
        </row>
        <row r="107">
          <cell r="B107" t="str">
            <v>OPERATIONAL &amp; ADMIN EQUIPMENT</v>
          </cell>
          <cell r="L107">
            <v>0</v>
          </cell>
        </row>
        <row r="108">
          <cell r="B108" t="str">
            <v>OPERATIONAL &amp; ADMIN EQUIPMENT</v>
          </cell>
          <cell r="L108">
            <v>0</v>
          </cell>
        </row>
        <row r="109">
          <cell r="B109" t="str">
            <v>OPERATIONAL &amp; ADMIN EQUIPMENT</v>
          </cell>
          <cell r="L109">
            <v>116000</v>
          </cell>
        </row>
        <row r="110">
          <cell r="B110" t="str">
            <v>OPERATIONAL &amp; ADMIN EQUIPMENT</v>
          </cell>
          <cell r="L110">
            <v>0</v>
          </cell>
        </row>
        <row r="111">
          <cell r="B111" t="str">
            <v>OPERATIONAL &amp; ADMIN EQUIPMENT</v>
          </cell>
          <cell r="L111">
            <v>0</v>
          </cell>
        </row>
        <row r="112">
          <cell r="B112" t="str">
            <v>OPERATIONAL &amp; ADMIN EQUIPMENT</v>
          </cell>
          <cell r="L112">
            <v>0</v>
          </cell>
        </row>
        <row r="113">
          <cell r="B113" t="str">
            <v>OPERATIONAL &amp; ADMIN EQUIPMENT</v>
          </cell>
          <cell r="L113">
            <v>56000</v>
          </cell>
        </row>
        <row r="114">
          <cell r="B114" t="str">
            <v>OPERATIONAL &amp; ADMIN EQUIPMENT</v>
          </cell>
          <cell r="L114">
            <v>0</v>
          </cell>
        </row>
        <row r="115">
          <cell r="B115" t="str">
            <v>OPERATIONAL &amp; ADMIN EQUIPMENT</v>
          </cell>
          <cell r="L115">
            <v>16000</v>
          </cell>
        </row>
        <row r="116">
          <cell r="B116" t="str">
            <v>OPERATIONAL &amp; ADMIN EQUIPMENT</v>
          </cell>
          <cell r="L116">
            <v>19000</v>
          </cell>
        </row>
        <row r="117">
          <cell r="B117" t="str">
            <v>OPERATIONAL &amp; ADMIN EQUIPMENT</v>
          </cell>
          <cell r="L117">
            <v>5000</v>
          </cell>
        </row>
        <row r="118">
          <cell r="B118" t="str">
            <v>OPERATIONAL &amp; ADMIN EQUIPMENT</v>
          </cell>
          <cell r="L118">
            <v>0</v>
          </cell>
        </row>
        <row r="119">
          <cell r="B119" t="str">
            <v>OPERATIONAL &amp; ADMIN EQUIPMENT</v>
          </cell>
          <cell r="L119">
            <v>2000</v>
          </cell>
        </row>
        <row r="120">
          <cell r="B120" t="str">
            <v>OPERATIONAL &amp; ADMIN EQUIPMENT</v>
          </cell>
          <cell r="L120">
            <v>0</v>
          </cell>
        </row>
        <row r="121">
          <cell r="B121" t="str">
            <v>OPERATIONAL &amp; ADMIN EQUIPMENT</v>
          </cell>
          <cell r="L121">
            <v>0</v>
          </cell>
        </row>
        <row r="122">
          <cell r="B122" t="str">
            <v>OPERATIONAL &amp; ADMIN EQUIPMENT</v>
          </cell>
          <cell r="L122">
            <v>2050</v>
          </cell>
        </row>
        <row r="123">
          <cell r="B123" t="str">
            <v>OPERATIONAL &amp; ADMIN EQUIPMENT</v>
          </cell>
          <cell r="L123">
            <v>4500</v>
          </cell>
        </row>
        <row r="124">
          <cell r="B124" t="str">
            <v>OPERATIONAL &amp; ADMIN EQUIPMENT</v>
          </cell>
          <cell r="L124">
            <v>50010</v>
          </cell>
        </row>
        <row r="125">
          <cell r="B125" t="str">
            <v>OPERATIONAL &amp; ADMIN EQUIPMENT</v>
          </cell>
          <cell r="L125">
            <v>0</v>
          </cell>
        </row>
        <row r="126">
          <cell r="B126" t="str">
            <v>PRINTING PHOTOCOPYING STATIONERY EXTC</v>
          </cell>
          <cell r="L126">
            <v>45400</v>
          </cell>
        </row>
        <row r="127">
          <cell r="B127" t="str">
            <v>PRINTING PHOTOCOPYING STATIONERY EXTC</v>
          </cell>
          <cell r="L127">
            <v>3500</v>
          </cell>
        </row>
        <row r="128">
          <cell r="B128" t="str">
            <v>PRINTING PHOTOCOPYING STATIONERY EXTC</v>
          </cell>
          <cell r="L128">
            <v>1000</v>
          </cell>
        </row>
        <row r="129">
          <cell r="B129" t="str">
            <v>PRINTING PHOTOCOPYING STATIONERY EXTC</v>
          </cell>
          <cell r="L129">
            <v>11700</v>
          </cell>
        </row>
        <row r="130">
          <cell r="B130" t="str">
            <v>OPERATIONAL &amp; ADMIN EQUIPMENT</v>
          </cell>
          <cell r="L130">
            <v>2000</v>
          </cell>
        </row>
        <row r="131">
          <cell r="B131" t="str">
            <v>OPERATIONAL &amp; ADMIN EQUIPMENT</v>
          </cell>
          <cell r="L131">
            <v>8250</v>
          </cell>
        </row>
        <row r="132">
          <cell r="B132" t="str">
            <v>OPERATIONAL &amp; ADMIN EQUIPMENT</v>
          </cell>
          <cell r="L132">
            <v>0</v>
          </cell>
        </row>
        <row r="133">
          <cell r="B133" t="str">
            <v>OPERATIONAL &amp; ADMIN EQUIPMENT</v>
          </cell>
          <cell r="L133">
            <v>0</v>
          </cell>
        </row>
        <row r="134">
          <cell r="B134" t="str">
            <v>OPERATIONAL &amp; ADMIN EQUIPMENT</v>
          </cell>
          <cell r="L134">
            <v>0</v>
          </cell>
        </row>
        <row r="135">
          <cell r="B135" t="str">
            <v>OPERATIONAL &amp; ADMIN EQUIPMENT</v>
          </cell>
          <cell r="L135">
            <v>0</v>
          </cell>
        </row>
        <row r="136">
          <cell r="B136" t="str">
            <v>OPERATIONAL &amp; ADMIN EQUIPMENT</v>
          </cell>
          <cell r="L136">
            <v>0</v>
          </cell>
        </row>
        <row r="137">
          <cell r="B137" t="str">
            <v>OPERATIONAL &amp; ADMIN EQUIPMENT</v>
          </cell>
          <cell r="L137">
            <v>0</v>
          </cell>
        </row>
        <row r="138">
          <cell r="B138" t="str">
            <v>DIVISIONAL INITIATIVES COMMUNITY SAFETY</v>
          </cell>
          <cell r="L138">
            <v>0</v>
          </cell>
        </row>
        <row r="139">
          <cell r="B139" t="str">
            <v>DIVISIONAL INITIATIVES COMMUNITY SAFETY</v>
          </cell>
          <cell r="L139">
            <v>0</v>
          </cell>
        </row>
        <row r="140">
          <cell r="B140" t="str">
            <v>DIVISIONAL INITIATIVES COMMUNITY SAFETY</v>
          </cell>
          <cell r="L140">
            <v>0</v>
          </cell>
        </row>
        <row r="141">
          <cell r="B141" t="str">
            <v>DIVISIONAL INITIATIVES COMMUNITY SAFETY</v>
          </cell>
          <cell r="L141">
            <v>0</v>
          </cell>
        </row>
        <row r="142">
          <cell r="B142" t="str">
            <v>DIVISIONAL INITIATIVES COMMUNITY SAFETY</v>
          </cell>
          <cell r="L142">
            <v>0</v>
          </cell>
        </row>
        <row r="143">
          <cell r="B143" t="str">
            <v>DIVISIONAL INITIATIVES COMMUNITY SAFETY</v>
          </cell>
          <cell r="L143">
            <v>448958</v>
          </cell>
        </row>
        <row r="144">
          <cell r="B144" t="str">
            <v>DIVISIONAL INITIATIVES COMMUNITY SAFETY</v>
          </cell>
          <cell r="L144">
            <v>0</v>
          </cell>
        </row>
        <row r="145">
          <cell r="B145" t="str">
            <v>ID PARADES</v>
          </cell>
          <cell r="L145">
            <v>0</v>
          </cell>
        </row>
        <row r="146">
          <cell r="B146" t="str">
            <v>OTHER</v>
          </cell>
          <cell r="L146">
            <v>2000</v>
          </cell>
        </row>
        <row r="147">
          <cell r="B147" t="str">
            <v>OTHER</v>
          </cell>
          <cell r="L147">
            <v>0</v>
          </cell>
        </row>
        <row r="148">
          <cell r="B148" t="str">
            <v>OTHER</v>
          </cell>
          <cell r="L148">
            <v>0</v>
          </cell>
        </row>
        <row r="149">
          <cell r="B149" t="str">
            <v>OTHER</v>
          </cell>
          <cell r="L149">
            <v>0</v>
          </cell>
        </row>
        <row r="150">
          <cell r="B150" t="str">
            <v>OTHER</v>
          </cell>
          <cell r="L150">
            <v>100</v>
          </cell>
        </row>
        <row r="151">
          <cell r="B151" t="str">
            <v>OTHER</v>
          </cell>
          <cell r="L151">
            <v>0</v>
          </cell>
        </row>
        <row r="152">
          <cell r="B152" t="str">
            <v>OTHER</v>
          </cell>
          <cell r="L152">
            <v>0</v>
          </cell>
        </row>
        <row r="153">
          <cell r="B153" t="str">
            <v>OTHER</v>
          </cell>
          <cell r="L153">
            <v>1000</v>
          </cell>
        </row>
        <row r="154">
          <cell r="B154" t="str">
            <v>OTHER</v>
          </cell>
          <cell r="L154">
            <v>0</v>
          </cell>
        </row>
        <row r="155">
          <cell r="B155" t="str">
            <v>OTHER</v>
          </cell>
          <cell r="L155">
            <v>1500</v>
          </cell>
        </row>
        <row r="156">
          <cell r="B156" t="str">
            <v>OTHER</v>
          </cell>
          <cell r="L156">
            <v>0</v>
          </cell>
        </row>
        <row r="157">
          <cell r="B157" t="str">
            <v>VEHCLE RECOVERY</v>
          </cell>
          <cell r="L157">
            <v>0</v>
          </cell>
        </row>
        <row r="158">
          <cell r="B158" t="str">
            <v>OTHER</v>
          </cell>
          <cell r="L158">
            <v>0</v>
          </cell>
        </row>
        <row r="159">
          <cell r="B159" t="str">
            <v>OTHER</v>
          </cell>
          <cell r="L159">
            <v>0</v>
          </cell>
        </row>
        <row r="160">
          <cell r="B160" t="str">
            <v>OTHER</v>
          </cell>
          <cell r="L160">
            <v>0</v>
          </cell>
        </row>
        <row r="161">
          <cell r="B161" t="str">
            <v>OTHER</v>
          </cell>
          <cell r="L161">
            <v>0</v>
          </cell>
        </row>
        <row r="162">
          <cell r="B162" t="str">
            <v>OTHER</v>
          </cell>
          <cell r="L162">
            <v>0</v>
          </cell>
        </row>
        <row r="163">
          <cell r="B163" t="str">
            <v>OTHER</v>
          </cell>
          <cell r="L163">
            <v>0</v>
          </cell>
        </row>
        <row r="164">
          <cell r="B164" t="str">
            <v>REGIONAL COLLABORATION</v>
          </cell>
          <cell r="L164">
            <v>0</v>
          </cell>
        </row>
        <row r="165">
          <cell r="B165" t="str">
            <v>SUBSISTENCE HOTEL &amp; HOSPITALITY</v>
          </cell>
          <cell r="L165">
            <v>0</v>
          </cell>
        </row>
        <row r="166">
          <cell r="B166" t="str">
            <v>SUBSISTENCE HOTEL &amp; HOSPITALITY</v>
          </cell>
          <cell r="L166">
            <v>0</v>
          </cell>
        </row>
        <row r="167">
          <cell r="B167" t="str">
            <v>SUBSISTENCE HOTEL &amp; HOSPITALITY</v>
          </cell>
          <cell r="L167">
            <v>0</v>
          </cell>
        </row>
        <row r="168">
          <cell r="B168" t="str">
            <v>SUBSISTENCE HOTEL &amp; HOSPITALITY</v>
          </cell>
          <cell r="L168">
            <v>6500</v>
          </cell>
        </row>
        <row r="169">
          <cell r="B169" t="str">
            <v>SUBSISTENCE HOTEL &amp; HOSPITALITY</v>
          </cell>
          <cell r="L169">
            <v>9000</v>
          </cell>
        </row>
        <row r="170">
          <cell r="B170" t="str">
            <v>SUBSISTENCE HOTEL &amp; HOSPITALITY</v>
          </cell>
          <cell r="L170">
            <v>46000</v>
          </cell>
        </row>
        <row r="171">
          <cell r="B171" t="str">
            <v>SUBSISTENCE HOTEL &amp; HOSPITALITY</v>
          </cell>
          <cell r="L171">
            <v>3750</v>
          </cell>
        </row>
        <row r="172">
          <cell r="B172" t="str">
            <v>SUBSISTENCE HOTEL &amp; HOSPITALITY</v>
          </cell>
          <cell r="L172">
            <v>0</v>
          </cell>
        </row>
        <row r="173">
          <cell r="B173" t="str">
            <v>CAR ALLOWANCES &amp; TRAVEL EXPENSES</v>
          </cell>
          <cell r="L173">
            <v>17000</v>
          </cell>
        </row>
        <row r="174">
          <cell r="B174" t="str">
            <v>CAR ALLOWANCES &amp; TRAVEL EXPENSES</v>
          </cell>
          <cell r="L174">
            <v>24000</v>
          </cell>
        </row>
        <row r="175">
          <cell r="L175">
            <v>0</v>
          </cell>
        </row>
        <row r="176">
          <cell r="L176">
            <v>8933006.75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B179" t="str">
            <v>CONTRACTED SUPPORT SERVICES</v>
          </cell>
          <cell r="L179">
            <v>0</v>
          </cell>
        </row>
        <row r="180">
          <cell r="B180" t="str">
            <v>CONTRACTED SUPPORT SERVICES</v>
          </cell>
          <cell r="L180">
            <v>0</v>
          </cell>
        </row>
        <row r="181">
          <cell r="B181" t="str">
            <v>AGENCY STAFF</v>
          </cell>
          <cell r="L181">
            <v>0</v>
          </cell>
        </row>
        <row r="182">
          <cell r="B182" t="str">
            <v>AGENCY STAFF</v>
          </cell>
          <cell r="L182">
            <v>20500</v>
          </cell>
        </row>
        <row r="183">
          <cell r="B183" t="str">
            <v>AGENCY STAFF</v>
          </cell>
          <cell r="L183">
            <v>100000</v>
          </cell>
        </row>
        <row r="184">
          <cell r="B184" t="str">
            <v>AGENCY STAFF</v>
          </cell>
          <cell r="L184">
            <v>0</v>
          </cell>
        </row>
        <row r="185">
          <cell r="B185" t="str">
            <v>AGENCY STAFF</v>
          </cell>
          <cell r="L185">
            <v>22000</v>
          </cell>
        </row>
        <row r="186">
          <cell r="B186" t="str">
            <v>AGENCY STAFF</v>
          </cell>
          <cell r="L186">
            <v>0</v>
          </cell>
        </row>
        <row r="187">
          <cell r="B187" t="str">
            <v>CONSULTANCY</v>
          </cell>
          <cell r="L187">
            <v>0</v>
          </cell>
        </row>
        <row r="188">
          <cell r="B188" t="str">
            <v>CONSULTANCY</v>
          </cell>
          <cell r="L188">
            <v>0</v>
          </cell>
        </row>
        <row r="189">
          <cell r="B189" t="str">
            <v>OFFICERS BORROWED FROM OTHER FORCES</v>
          </cell>
          <cell r="L189">
            <v>6356754</v>
          </cell>
        </row>
        <row r="190">
          <cell r="B190" t="str">
            <v>OFFICERS BORROWED FROM OTHER FORCES</v>
          </cell>
          <cell r="L190">
            <v>22000</v>
          </cell>
        </row>
        <row r="191">
          <cell r="L191">
            <v>6521254</v>
          </cell>
        </row>
        <row r="194">
          <cell r="B194" t="str">
            <v>CAR ALLOWANCES &amp; TRAVEL EXPENSES</v>
          </cell>
          <cell r="L194">
            <v>0</v>
          </cell>
        </row>
        <row r="195">
          <cell r="B195" t="str">
            <v>CAR ALLOWANCES &amp; TRAVEL EXPENSES</v>
          </cell>
          <cell r="L195">
            <v>54900</v>
          </cell>
        </row>
        <row r="196">
          <cell r="B196" t="str">
            <v>VEHICLE FLEET</v>
          </cell>
          <cell r="L196">
            <v>358640</v>
          </cell>
        </row>
        <row r="197">
          <cell r="B197" t="str">
            <v>VEHICLE FLEET</v>
          </cell>
          <cell r="L197">
            <v>121000</v>
          </cell>
        </row>
        <row r="198">
          <cell r="B198" t="str">
            <v>VEHICLE FLEET</v>
          </cell>
          <cell r="L198">
            <v>0</v>
          </cell>
        </row>
        <row r="199">
          <cell r="B199" t="str">
            <v>VEHICLE FLEET</v>
          </cell>
          <cell r="L199">
            <v>0</v>
          </cell>
        </row>
        <row r="200">
          <cell r="B200" t="str">
            <v>VEHICLE FLEET</v>
          </cell>
          <cell r="L200">
            <v>0</v>
          </cell>
        </row>
        <row r="201">
          <cell r="B201" t="str">
            <v>VEHICLE FLEET</v>
          </cell>
          <cell r="L201">
            <v>0</v>
          </cell>
        </row>
        <row r="202">
          <cell r="B202" t="str">
            <v>VEHICLE FLEET</v>
          </cell>
          <cell r="L202">
            <v>0</v>
          </cell>
        </row>
        <row r="203">
          <cell r="B203" t="str">
            <v>VEHICLE FLEET</v>
          </cell>
          <cell r="L203">
            <v>0</v>
          </cell>
        </row>
        <row r="204">
          <cell r="B204" t="str">
            <v>VEHICLE FLEET</v>
          </cell>
          <cell r="L204">
            <v>4500</v>
          </cell>
        </row>
        <row r="205">
          <cell r="B205" t="str">
            <v>VEHICLE FLEET</v>
          </cell>
          <cell r="L205">
            <v>1500</v>
          </cell>
        </row>
        <row r="206">
          <cell r="B206" t="str">
            <v>VEHICLE FLEET</v>
          </cell>
          <cell r="L206">
            <v>0</v>
          </cell>
        </row>
        <row r="207">
          <cell r="B207" t="str">
            <v>VEHICLE FLEET</v>
          </cell>
          <cell r="L207">
            <v>0</v>
          </cell>
        </row>
        <row r="208">
          <cell r="B208" t="str">
            <v>VEHICLE FLEET</v>
          </cell>
          <cell r="L208">
            <v>200</v>
          </cell>
        </row>
        <row r="209">
          <cell r="B209" t="str">
            <v>VEHICLE FLEET</v>
          </cell>
          <cell r="L209">
            <v>0</v>
          </cell>
        </row>
        <row r="210">
          <cell r="B210" t="str">
            <v>VEHICLE FLEET</v>
          </cell>
          <cell r="L210">
            <v>7500</v>
          </cell>
        </row>
        <row r="211">
          <cell r="B211" t="str">
            <v>VEHICLE FLEET</v>
          </cell>
          <cell r="L211">
            <v>0</v>
          </cell>
        </row>
        <row r="212">
          <cell r="B212" t="str">
            <v>VEHICLE FLEET</v>
          </cell>
          <cell r="L212">
            <v>0</v>
          </cell>
        </row>
        <row r="213">
          <cell r="B213" t="str">
            <v>VEHICLE FLEET</v>
          </cell>
          <cell r="L213">
            <v>0</v>
          </cell>
        </row>
        <row r="214">
          <cell r="B214" t="str">
            <v>VEHICLE FLEET</v>
          </cell>
          <cell r="L214">
            <v>115000</v>
          </cell>
        </row>
        <row r="215">
          <cell r="B215" t="str">
            <v>HELICOPTER</v>
          </cell>
          <cell r="L215">
            <v>0</v>
          </cell>
        </row>
        <row r="216">
          <cell r="L216">
            <v>0</v>
          </cell>
        </row>
        <row r="217">
          <cell r="L217">
            <v>663240</v>
          </cell>
        </row>
        <row r="218">
          <cell r="B218" t="str">
            <v>INCOME</v>
          </cell>
          <cell r="L218">
            <v>0</v>
          </cell>
        </row>
        <row r="219">
          <cell r="B219" t="str">
            <v>INCOME</v>
          </cell>
          <cell r="L219">
            <v>0</v>
          </cell>
        </row>
        <row r="220">
          <cell r="B220" t="str">
            <v>INCOME</v>
          </cell>
          <cell r="L220">
            <v>0</v>
          </cell>
        </row>
        <row r="221">
          <cell r="B221" t="str">
            <v>INCOME</v>
          </cell>
          <cell r="L221">
            <v>0</v>
          </cell>
        </row>
        <row r="222">
          <cell r="B222" t="str">
            <v>INCOME</v>
          </cell>
          <cell r="L222">
            <v>0</v>
          </cell>
        </row>
        <row r="223">
          <cell r="B223" t="str">
            <v>INCOME</v>
          </cell>
          <cell r="L223">
            <v>0</v>
          </cell>
        </row>
        <row r="224">
          <cell r="B224" t="str">
            <v>INCOME</v>
          </cell>
          <cell r="L224">
            <v>0</v>
          </cell>
        </row>
        <row r="225">
          <cell r="B225" t="str">
            <v>INCOME</v>
          </cell>
          <cell r="L225">
            <v>-20000</v>
          </cell>
        </row>
        <row r="226">
          <cell r="B226" t="str">
            <v>INCOME</v>
          </cell>
          <cell r="L226">
            <v>0</v>
          </cell>
        </row>
        <row r="227">
          <cell r="B227" t="str">
            <v>INCOME</v>
          </cell>
          <cell r="L227">
            <v>0</v>
          </cell>
        </row>
        <row r="228">
          <cell r="B228" t="str">
            <v>INCOME</v>
          </cell>
          <cell r="L228">
            <v>0</v>
          </cell>
        </row>
        <row r="229">
          <cell r="B229" t="str">
            <v>INCOME</v>
          </cell>
          <cell r="L229">
            <v>-2545028</v>
          </cell>
        </row>
        <row r="230">
          <cell r="B230" t="str">
            <v>INCOME</v>
          </cell>
          <cell r="L230">
            <v>-13006833</v>
          </cell>
        </row>
        <row r="231">
          <cell r="B231" t="str">
            <v>INCOME</v>
          </cell>
          <cell r="L231">
            <v>0</v>
          </cell>
        </row>
        <row r="232">
          <cell r="B232" t="str">
            <v>INCOME</v>
          </cell>
          <cell r="L232">
            <v>-45000</v>
          </cell>
        </row>
        <row r="233">
          <cell r="B233" t="str">
            <v>INCOME</v>
          </cell>
          <cell r="L233">
            <v>0</v>
          </cell>
        </row>
        <row r="234">
          <cell r="B234" t="str">
            <v>INCOME</v>
          </cell>
          <cell r="L234">
            <v>0</v>
          </cell>
        </row>
        <row r="235">
          <cell r="B235" t="str">
            <v>INCOME</v>
          </cell>
          <cell r="L235">
            <v>0</v>
          </cell>
        </row>
        <row r="236">
          <cell r="B236" t="str">
            <v>INCOME</v>
          </cell>
          <cell r="L236">
            <v>0</v>
          </cell>
        </row>
        <row r="237">
          <cell r="B237" t="str">
            <v>INCOME</v>
          </cell>
          <cell r="L237">
            <v>-100000</v>
          </cell>
        </row>
        <row r="238">
          <cell r="B238" t="str">
            <v>INCOME</v>
          </cell>
          <cell r="L238">
            <v>0</v>
          </cell>
        </row>
        <row r="239">
          <cell r="B239" t="str">
            <v>INCOME</v>
          </cell>
          <cell r="L239">
            <v>0</v>
          </cell>
        </row>
        <row r="240">
          <cell r="B240" t="str">
            <v>INCOME</v>
          </cell>
          <cell r="L240">
            <v>0</v>
          </cell>
        </row>
        <row r="241">
          <cell r="B241" t="str">
            <v>INCOME</v>
          </cell>
          <cell r="L241">
            <v>0</v>
          </cell>
        </row>
        <row r="242">
          <cell r="B242" t="str">
            <v>INCOME</v>
          </cell>
          <cell r="L242">
            <v>0</v>
          </cell>
        </row>
        <row r="243">
          <cell r="B243" t="str">
            <v>INCOME</v>
          </cell>
          <cell r="L243">
            <v>0</v>
          </cell>
        </row>
        <row r="244">
          <cell r="B244" t="str">
            <v>INCOME</v>
          </cell>
          <cell r="L244">
            <v>0</v>
          </cell>
        </row>
        <row r="245">
          <cell r="B245" t="str">
            <v>INCOME</v>
          </cell>
          <cell r="L245">
            <v>0</v>
          </cell>
        </row>
        <row r="246">
          <cell r="B246" t="str">
            <v>INCOME</v>
          </cell>
          <cell r="L246">
            <v>0</v>
          </cell>
        </row>
        <row r="247">
          <cell r="B247" t="str">
            <v>INCOME</v>
          </cell>
          <cell r="L247">
            <v>0</v>
          </cell>
        </row>
        <row r="248">
          <cell r="B248" t="str">
            <v>INCOME</v>
          </cell>
          <cell r="L248">
            <v>0</v>
          </cell>
        </row>
        <row r="249">
          <cell r="B249" t="str">
            <v>INCOME</v>
          </cell>
          <cell r="L249">
            <v>0</v>
          </cell>
        </row>
        <row r="250">
          <cell r="B250" t="str">
            <v>INCOME</v>
          </cell>
          <cell r="L250">
            <v>0</v>
          </cell>
        </row>
        <row r="251">
          <cell r="B251" t="str">
            <v>INCOME</v>
          </cell>
          <cell r="L251">
            <v>0</v>
          </cell>
        </row>
        <row r="252">
          <cell r="B252" t="str">
            <v>INCOME</v>
          </cell>
          <cell r="L252">
            <v>0</v>
          </cell>
        </row>
        <row r="253">
          <cell r="B253" t="str">
            <v>INCOME</v>
          </cell>
          <cell r="L253">
            <v>0</v>
          </cell>
        </row>
        <row r="254">
          <cell r="B254" t="str">
            <v>INCOME</v>
          </cell>
          <cell r="L254">
            <v>-2352830</v>
          </cell>
        </row>
        <row r="255">
          <cell r="B255" t="str">
            <v>INCOME</v>
          </cell>
          <cell r="L255">
            <v>0</v>
          </cell>
        </row>
        <row r="256">
          <cell r="B256" t="str">
            <v>INCOME</v>
          </cell>
          <cell r="L256">
            <v>0</v>
          </cell>
        </row>
        <row r="257">
          <cell r="B257" t="str">
            <v>INCOME</v>
          </cell>
          <cell r="L257">
            <v>0</v>
          </cell>
        </row>
        <row r="258">
          <cell r="B258" t="str">
            <v>INCOME</v>
          </cell>
          <cell r="L258">
            <v>0</v>
          </cell>
        </row>
        <row r="259">
          <cell r="B259" t="str">
            <v>INCOME</v>
          </cell>
          <cell r="L259">
            <v>0</v>
          </cell>
        </row>
        <row r="260">
          <cell r="B260" t="str">
            <v>INCOME</v>
          </cell>
          <cell r="L260">
            <v>0</v>
          </cell>
        </row>
        <row r="261">
          <cell r="B261" t="str">
            <v>INCOME</v>
          </cell>
          <cell r="L261">
            <v>0</v>
          </cell>
        </row>
        <row r="262">
          <cell r="B262" t="str">
            <v>INCOME</v>
          </cell>
          <cell r="L262">
            <v>0</v>
          </cell>
        </row>
        <row r="263">
          <cell r="B263" t="str">
            <v>INCOME</v>
          </cell>
          <cell r="L263">
            <v>0</v>
          </cell>
        </row>
        <row r="264">
          <cell r="B264" t="str">
            <v>INCOME</v>
          </cell>
          <cell r="L264">
            <v>0</v>
          </cell>
        </row>
        <row r="265">
          <cell r="B265" t="str">
            <v>INCOME</v>
          </cell>
          <cell r="L265">
            <v>0</v>
          </cell>
        </row>
        <row r="266">
          <cell r="B266" t="str">
            <v>INCOME</v>
          </cell>
          <cell r="L266">
            <v>0</v>
          </cell>
        </row>
        <row r="267">
          <cell r="B267" t="str">
            <v>INCOME</v>
          </cell>
          <cell r="L267">
            <v>0</v>
          </cell>
        </row>
        <row r="268">
          <cell r="B268" t="str">
            <v>INCOME</v>
          </cell>
          <cell r="L268">
            <v>0</v>
          </cell>
        </row>
        <row r="269">
          <cell r="B269" t="str">
            <v>INCOME</v>
          </cell>
          <cell r="L269">
            <v>0</v>
          </cell>
        </row>
        <row r="271">
          <cell r="B271" t="str">
            <v>INTERNAL RECHARGES</v>
          </cell>
          <cell r="L271">
            <v>0</v>
          </cell>
        </row>
        <row r="272">
          <cell r="B272" t="str">
            <v>INTERNAL RECHARGES</v>
          </cell>
          <cell r="L272">
            <v>0</v>
          </cell>
        </row>
        <row r="273">
          <cell r="B273" t="str">
            <v>INTERNAL RECHARGES</v>
          </cell>
          <cell r="L273">
            <v>526933</v>
          </cell>
        </row>
        <row r="274">
          <cell r="B274" t="str">
            <v>INTERNAL RECHARGES</v>
          </cell>
          <cell r="L274">
            <v>0</v>
          </cell>
        </row>
        <row r="275">
          <cell r="B275" t="str">
            <v>INTERNAL RECHARGES</v>
          </cell>
          <cell r="L275">
            <v>0</v>
          </cell>
        </row>
        <row r="276">
          <cell r="B276" t="str">
            <v>INTERNAL RECHARGES</v>
          </cell>
          <cell r="L276">
            <v>0</v>
          </cell>
        </row>
        <row r="277">
          <cell r="B277" t="str">
            <v>INTERNAL RECHARGES</v>
          </cell>
          <cell r="L277">
            <v>261527.01</v>
          </cell>
        </row>
        <row r="278">
          <cell r="B278" t="str">
            <v>INTERNAL RECHARGES</v>
          </cell>
          <cell r="L278">
            <v>0</v>
          </cell>
        </row>
        <row r="279">
          <cell r="B279" t="str">
            <v>INTERNAL RECHARGES</v>
          </cell>
          <cell r="L279">
            <v>0</v>
          </cell>
        </row>
        <row r="280">
          <cell r="B280" t="str">
            <v>INTERNAL RECHARGES</v>
          </cell>
          <cell r="L280">
            <v>0</v>
          </cell>
        </row>
        <row r="281">
          <cell r="B281" t="str">
            <v>INTERNAL RECHARGES</v>
          </cell>
          <cell r="L281">
            <v>49482</v>
          </cell>
        </row>
        <row r="282">
          <cell r="B282" t="str">
            <v>INTERNAL RECHARGES</v>
          </cell>
          <cell r="L282">
            <v>0</v>
          </cell>
        </row>
        <row r="283">
          <cell r="B283" t="str">
            <v>INTERNAL RECHARGES</v>
          </cell>
          <cell r="L283">
            <v>-13554338</v>
          </cell>
        </row>
        <row r="284">
          <cell r="L284">
            <v>-30786086.989999998</v>
          </cell>
        </row>
        <row r="285">
          <cell r="L285">
            <v>0</v>
          </cell>
        </row>
        <row r="286">
          <cell r="L286">
            <v>64000.000000003725</v>
          </cell>
        </row>
      </sheetData>
      <sheetData sheetId="16">
        <row r="2">
          <cell r="L2" t="str">
            <v>Revised estimate 2016-17</v>
          </cell>
        </row>
        <row r="3">
          <cell r="L3">
            <v>0</v>
          </cell>
        </row>
        <row r="5">
          <cell r="B5" t="str">
            <v>Police Pay</v>
          </cell>
          <cell r="L5">
            <v>29599</v>
          </cell>
        </row>
        <row r="6">
          <cell r="B6" t="str">
            <v>Police Pay</v>
          </cell>
          <cell r="L6">
            <v>0</v>
          </cell>
        </row>
        <row r="7">
          <cell r="B7" t="str">
            <v>Police Pay</v>
          </cell>
          <cell r="L7">
            <v>11089755.720000001</v>
          </cell>
          <cell r="N7">
            <v>46207.315500000012</v>
          </cell>
          <cell r="W7">
            <v>64959.784373750008</v>
          </cell>
        </row>
        <row r="8">
          <cell r="B8" t="str">
            <v>Police Pay</v>
          </cell>
          <cell r="L8">
            <v>-1884.76</v>
          </cell>
        </row>
        <row r="9">
          <cell r="G9">
            <v>-1884.76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11117469.960000001</v>
          </cell>
          <cell r="N9">
            <v>46207.315500000012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W9">
            <v>64959.784373750008</v>
          </cell>
        </row>
        <row r="10">
          <cell r="B10" t="str">
            <v>Police Overtime</v>
          </cell>
          <cell r="L10">
            <v>290484.76</v>
          </cell>
        </row>
        <row r="11">
          <cell r="B11" t="str">
            <v>Police Overtime</v>
          </cell>
          <cell r="L11">
            <v>0</v>
          </cell>
        </row>
        <row r="12">
          <cell r="G12">
            <v>1684.76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290484.76</v>
          </cell>
          <cell r="N12">
            <v>1210.3531666666668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W12">
            <v>1701.5548268055554</v>
          </cell>
        </row>
        <row r="13">
          <cell r="B13" t="str">
            <v>Police Overtime</v>
          </cell>
          <cell r="L13">
            <v>49700</v>
          </cell>
        </row>
        <row r="14">
          <cell r="B14" t="str">
            <v>Police Overtime</v>
          </cell>
          <cell r="L14">
            <v>0</v>
          </cell>
        </row>
        <row r="15">
          <cell r="G15">
            <v>200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49700</v>
          </cell>
          <cell r="N15">
            <v>207.08333333333337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W15">
            <v>291.12465277777784</v>
          </cell>
        </row>
        <row r="16">
          <cell r="B16" t="str">
            <v>SUPPORT STAFF PAY AND ALLOWANCES</v>
          </cell>
          <cell r="L16">
            <v>0</v>
          </cell>
        </row>
        <row r="17">
          <cell r="B17" t="str">
            <v>SUPPORT STAFF PAY AND ALLOWANCES</v>
          </cell>
          <cell r="L17">
            <v>0</v>
          </cell>
        </row>
        <row r="18">
          <cell r="B18" t="str">
            <v>SUPPORT STAFF PAY AND ALLOWANCES</v>
          </cell>
          <cell r="L18">
            <v>0</v>
          </cell>
        </row>
        <row r="19">
          <cell r="B19" t="str">
            <v>SUPPORT STAFF PAY AND ALLOWANCES</v>
          </cell>
          <cell r="L19">
            <v>4453680.5599999996</v>
          </cell>
        </row>
        <row r="20">
          <cell r="B20" t="str">
            <v>SUPPORT STAFF PAY AND ALLOWANCES</v>
          </cell>
          <cell r="L20">
            <v>65000</v>
          </cell>
        </row>
        <row r="21">
          <cell r="B21" t="str">
            <v>SUPPORT STAFF PAY AND ALLOWANCES</v>
          </cell>
          <cell r="L21">
            <v>0</v>
          </cell>
        </row>
        <row r="22">
          <cell r="B22" t="str">
            <v>SUPPORT STAFF PAY AND ALLOWANCES</v>
          </cell>
          <cell r="L22">
            <v>0</v>
          </cell>
        </row>
        <row r="23">
          <cell r="B23" t="str">
            <v>SUPPORT STAFF PAY AND ALLOWANCES</v>
          </cell>
          <cell r="L23">
            <v>0</v>
          </cell>
        </row>
        <row r="24">
          <cell r="B24" t="str">
            <v>SUPPORT STAFF PAY AND ALLOWANCES</v>
          </cell>
          <cell r="L24">
            <v>0</v>
          </cell>
        </row>
        <row r="25">
          <cell r="B25" t="str">
            <v>SUPPORT STAFF PAY AND ALLOWANCES</v>
          </cell>
          <cell r="L25">
            <v>0</v>
          </cell>
        </row>
        <row r="26">
          <cell r="B26" t="str">
            <v>SUPPORT STAFF PAY AND ALLOWANCES</v>
          </cell>
          <cell r="L26">
            <v>0</v>
          </cell>
        </row>
        <row r="27">
          <cell r="B27" t="str">
            <v>SUPPORT STAFF PAY AND ALLOWANCES</v>
          </cell>
          <cell r="L27">
            <v>0</v>
          </cell>
        </row>
        <row r="28">
          <cell r="B28" t="str">
            <v>SUPPORT STAFF PAY AND ALLOWANCES</v>
          </cell>
          <cell r="L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4518680.5599999996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W29">
            <v>25979.803266666662</v>
          </cell>
        </row>
        <row r="30">
          <cell r="B30" t="str">
            <v>SUPPORT STAFF OVERTIME</v>
          </cell>
          <cell r="L30">
            <v>76500</v>
          </cell>
        </row>
        <row r="31">
          <cell r="B31" t="str">
            <v>SUPPORT STAFF OVERTIME</v>
          </cell>
          <cell r="L31">
            <v>5000</v>
          </cell>
        </row>
        <row r="32">
          <cell r="B32" t="str">
            <v>SUPPORT STAFF OVERTIME</v>
          </cell>
          <cell r="L32">
            <v>0</v>
          </cell>
        </row>
        <row r="33">
          <cell r="B33" t="str">
            <v>SUPPORT STAFF OVERTIME</v>
          </cell>
          <cell r="L33">
            <v>0</v>
          </cell>
        </row>
        <row r="34">
          <cell r="B34" t="str">
            <v>SUPPORT STAFF OVERTIME</v>
          </cell>
          <cell r="L34">
            <v>0</v>
          </cell>
        </row>
        <row r="35">
          <cell r="B35" t="str">
            <v>TRAINING</v>
          </cell>
          <cell r="L35">
            <v>105000.16</v>
          </cell>
        </row>
        <row r="36">
          <cell r="B36" t="str">
            <v>SUPPORT STAFF OVERTIME</v>
          </cell>
          <cell r="L36">
            <v>0</v>
          </cell>
        </row>
        <row r="37">
          <cell r="B37" t="str">
            <v>SUPPORT STAFF OVERTIME</v>
          </cell>
          <cell r="L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186500.16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475.41666666666669</v>
          </cell>
        </row>
        <row r="40">
          <cell r="L40">
            <v>16162835.440000001</v>
          </cell>
        </row>
        <row r="41">
          <cell r="L41">
            <v>0</v>
          </cell>
        </row>
        <row r="42">
          <cell r="B42" t="str">
            <v>BUILDINGS MAINTENANCE</v>
          </cell>
          <cell r="L42">
            <v>5000</v>
          </cell>
        </row>
        <row r="43">
          <cell r="B43" t="str">
            <v>BUILDINGS MAINTENANCE</v>
          </cell>
          <cell r="L43">
            <v>10000</v>
          </cell>
        </row>
        <row r="44">
          <cell r="B44" t="str">
            <v>BUILDINGS MAINTENANCE</v>
          </cell>
          <cell r="L44">
            <v>0</v>
          </cell>
        </row>
        <row r="45">
          <cell r="B45" t="str">
            <v>BUILDINGS MAINTENANCE</v>
          </cell>
          <cell r="L45">
            <v>0</v>
          </cell>
        </row>
        <row r="46">
          <cell r="B46" t="str">
            <v>BUILDINGS MAINTENANCE</v>
          </cell>
          <cell r="L46">
            <v>0</v>
          </cell>
        </row>
        <row r="47">
          <cell r="B47" t="str">
            <v>BUILDINGS MAINTENANCE</v>
          </cell>
          <cell r="L47">
            <v>0</v>
          </cell>
        </row>
        <row r="48">
          <cell r="B48" t="str">
            <v>BUILDINGS MAINTENANCE</v>
          </cell>
          <cell r="L48">
            <v>0</v>
          </cell>
        </row>
        <row r="49">
          <cell r="B49" t="str">
            <v>BUILDINGS MAINTENANCE</v>
          </cell>
          <cell r="L49">
            <v>0</v>
          </cell>
        </row>
        <row r="50">
          <cell r="B50" t="str">
            <v xml:space="preserve">ENERGY </v>
          </cell>
          <cell r="L50">
            <v>0</v>
          </cell>
        </row>
        <row r="51">
          <cell r="B51" t="str">
            <v xml:space="preserve">ENERGY </v>
          </cell>
          <cell r="L51">
            <v>0</v>
          </cell>
        </row>
        <row r="52">
          <cell r="B52" t="str">
            <v>OTHER</v>
          </cell>
          <cell r="L52">
            <v>0</v>
          </cell>
        </row>
        <row r="53">
          <cell r="B53" t="str">
            <v>OTHER</v>
          </cell>
          <cell r="L53">
            <v>1000</v>
          </cell>
        </row>
        <row r="54">
          <cell r="B54" t="str">
            <v>OTHER</v>
          </cell>
          <cell r="L54">
            <v>7000</v>
          </cell>
        </row>
        <row r="55">
          <cell r="B55" t="str">
            <v>OTHER</v>
          </cell>
          <cell r="L55">
            <v>0</v>
          </cell>
        </row>
        <row r="56">
          <cell r="B56" t="str">
            <v>OTHER</v>
          </cell>
          <cell r="L56">
            <v>0</v>
          </cell>
        </row>
        <row r="57">
          <cell r="B57" t="str">
            <v>CLEANING CONTRACT</v>
          </cell>
          <cell r="L57">
            <v>0</v>
          </cell>
        </row>
        <row r="58">
          <cell r="B58" t="str">
            <v>OTHER</v>
          </cell>
          <cell r="L58">
            <v>4800</v>
          </cell>
        </row>
        <row r="59">
          <cell r="B59" t="str">
            <v>OTHER</v>
          </cell>
          <cell r="L59">
            <v>14000</v>
          </cell>
        </row>
        <row r="60">
          <cell r="B60" t="str">
            <v>RENT AND RATES</v>
          </cell>
          <cell r="L60">
            <v>0</v>
          </cell>
        </row>
        <row r="61">
          <cell r="B61" t="str">
            <v>RENT AND RATES</v>
          </cell>
          <cell r="L61">
            <v>0</v>
          </cell>
        </row>
        <row r="62">
          <cell r="B62" t="str">
            <v>OTHER</v>
          </cell>
          <cell r="L62">
            <v>0</v>
          </cell>
        </row>
        <row r="63">
          <cell r="B63" t="str">
            <v xml:space="preserve">ENERGY </v>
          </cell>
          <cell r="L63">
            <v>0</v>
          </cell>
        </row>
        <row r="64">
          <cell r="B64" t="str">
            <v>BUILDINGS MAINTENANCE</v>
          </cell>
          <cell r="L64">
            <v>0</v>
          </cell>
        </row>
        <row r="65">
          <cell r="B65" t="str">
            <v xml:space="preserve">ENERGY </v>
          </cell>
          <cell r="L65">
            <v>0</v>
          </cell>
        </row>
        <row r="66">
          <cell r="L66">
            <v>41800</v>
          </cell>
        </row>
        <row r="67">
          <cell r="L67">
            <v>0</v>
          </cell>
        </row>
        <row r="68">
          <cell r="B68" t="str">
            <v>COMPUTERS AND COMMUNICATIONS</v>
          </cell>
          <cell r="L68">
            <v>0</v>
          </cell>
        </row>
        <row r="69">
          <cell r="B69" t="str">
            <v>COMPUTERS AND COMMUNICATIONS</v>
          </cell>
          <cell r="L69">
            <v>80000</v>
          </cell>
        </row>
        <row r="70">
          <cell r="B70" t="str">
            <v>COMPUTERS AND COMMUNICATIONS</v>
          </cell>
          <cell r="L70">
            <v>0</v>
          </cell>
        </row>
        <row r="71">
          <cell r="B71" t="str">
            <v>COMPUTERS AND COMMUNICATIONS</v>
          </cell>
          <cell r="L71">
            <v>34800</v>
          </cell>
        </row>
        <row r="72">
          <cell r="B72" t="str">
            <v>COMPUTERS AND COMMUNICATIONS</v>
          </cell>
          <cell r="L72">
            <v>0</v>
          </cell>
        </row>
        <row r="73">
          <cell r="B73" t="str">
            <v>COMPUTERS AND COMMUNICATIONS</v>
          </cell>
          <cell r="L73">
            <v>0</v>
          </cell>
        </row>
        <row r="74">
          <cell r="B74" t="str">
            <v>COMPUTERS AND COMMUNICATIONS</v>
          </cell>
          <cell r="L74">
            <v>0</v>
          </cell>
        </row>
        <row r="75">
          <cell r="B75" t="str">
            <v>COMPUTERS AND COMMUNICATIONS</v>
          </cell>
          <cell r="L75">
            <v>0</v>
          </cell>
        </row>
        <row r="76">
          <cell r="B76" t="str">
            <v>COMPUTERS AND COMMUNICATIONS</v>
          </cell>
          <cell r="L76">
            <v>30000</v>
          </cell>
        </row>
        <row r="77">
          <cell r="B77" t="str">
            <v>COMPUTERS AND COMMUNICATIONS</v>
          </cell>
          <cell r="L77">
            <v>56000</v>
          </cell>
        </row>
        <row r="78">
          <cell r="B78" t="str">
            <v>COMPUTERS AND COMMUNICATIONS</v>
          </cell>
          <cell r="L78">
            <v>70000</v>
          </cell>
        </row>
        <row r="79">
          <cell r="B79" t="str">
            <v>COMPUTERS AND COMMUNICATIONS</v>
          </cell>
          <cell r="L79">
            <v>0</v>
          </cell>
        </row>
        <row r="80">
          <cell r="B80" t="str">
            <v>COMPUTERS AND COMMUNICATIONS</v>
          </cell>
          <cell r="L80">
            <v>0</v>
          </cell>
        </row>
        <row r="81">
          <cell r="B81" t="str">
            <v>COMPUTERS AND COMMUNICATIONS</v>
          </cell>
          <cell r="L81">
            <v>0</v>
          </cell>
        </row>
        <row r="82">
          <cell r="B82" t="str">
            <v>COMPUTERS AND COMMUNICATIONS</v>
          </cell>
          <cell r="L82">
            <v>0</v>
          </cell>
        </row>
        <row r="83">
          <cell r="B83" t="str">
            <v>OTHER</v>
          </cell>
          <cell r="L83">
            <v>0</v>
          </cell>
        </row>
        <row r="84">
          <cell r="B84" t="str">
            <v>OTHER</v>
          </cell>
          <cell r="L84">
            <v>0</v>
          </cell>
        </row>
        <row r="85">
          <cell r="B85" t="str">
            <v>CLOTHING</v>
          </cell>
          <cell r="L85">
            <v>0</v>
          </cell>
        </row>
        <row r="86">
          <cell r="B86" t="str">
            <v>CLOTHING</v>
          </cell>
          <cell r="L86">
            <v>0</v>
          </cell>
        </row>
        <row r="87">
          <cell r="B87" t="str">
            <v>CLOTHING</v>
          </cell>
          <cell r="L87">
            <v>1000</v>
          </cell>
        </row>
        <row r="88">
          <cell r="B88" t="str">
            <v>CLOTHING</v>
          </cell>
          <cell r="L88">
            <v>0</v>
          </cell>
        </row>
        <row r="89">
          <cell r="B89" t="str">
            <v>CLOTHING</v>
          </cell>
          <cell r="L89">
            <v>0</v>
          </cell>
        </row>
        <row r="90">
          <cell r="B90" t="str">
            <v>CLOTHING</v>
          </cell>
          <cell r="L90">
            <v>0</v>
          </cell>
        </row>
        <row r="91">
          <cell r="B91" t="str">
            <v>MEDICAL EXPENSES</v>
          </cell>
          <cell r="L91">
            <v>0</v>
          </cell>
        </row>
        <row r="92">
          <cell r="B92" t="str">
            <v>MEDICAL EXPENSES</v>
          </cell>
          <cell r="L92">
            <v>0</v>
          </cell>
        </row>
        <row r="93">
          <cell r="B93" t="str">
            <v>MEDICAL EXPENSES</v>
          </cell>
          <cell r="L93">
            <v>5000</v>
          </cell>
        </row>
        <row r="94">
          <cell r="B94" t="str">
            <v>MEDICAL EXPENSES</v>
          </cell>
          <cell r="L94">
            <v>0</v>
          </cell>
        </row>
        <row r="95">
          <cell r="B95" t="str">
            <v>MEDICAL EXPENSES</v>
          </cell>
          <cell r="L95">
            <v>0</v>
          </cell>
        </row>
        <row r="96">
          <cell r="B96" t="str">
            <v>MEDICAL EXPENSES</v>
          </cell>
          <cell r="L96">
            <v>0</v>
          </cell>
        </row>
        <row r="97">
          <cell r="B97" t="str">
            <v>MEDICAL EXPENSES</v>
          </cell>
          <cell r="L97">
            <v>0</v>
          </cell>
        </row>
        <row r="98">
          <cell r="B98" t="str">
            <v>MEDICAL EXPENSES</v>
          </cell>
          <cell r="L98">
            <v>0</v>
          </cell>
        </row>
        <row r="99">
          <cell r="B99" t="str">
            <v>MEDICAL EXPENSES</v>
          </cell>
          <cell r="L99">
            <v>0</v>
          </cell>
        </row>
        <row r="100">
          <cell r="B100" t="str">
            <v>FORENSIC</v>
          </cell>
          <cell r="L100">
            <v>60000</v>
          </cell>
        </row>
        <row r="101">
          <cell r="B101" t="str">
            <v>FORENSIC</v>
          </cell>
          <cell r="L101">
            <v>0</v>
          </cell>
        </row>
        <row r="102">
          <cell r="B102" t="str">
            <v>FORENSIC</v>
          </cell>
          <cell r="L102">
            <v>0</v>
          </cell>
        </row>
        <row r="103">
          <cell r="B103" t="str">
            <v>OTHER</v>
          </cell>
          <cell r="L103">
            <v>0</v>
          </cell>
        </row>
        <row r="104">
          <cell r="B104" t="str">
            <v>OPERATIONAL &amp; ADMIN EQUIPMENT</v>
          </cell>
          <cell r="L104">
            <v>0</v>
          </cell>
        </row>
        <row r="105">
          <cell r="B105" t="str">
            <v>OPERATIONAL &amp; ADMIN EQUIPMENT</v>
          </cell>
          <cell r="L105">
            <v>0</v>
          </cell>
        </row>
        <row r="106">
          <cell r="B106" t="str">
            <v>OPERATIONAL &amp; ADMIN EQUIPMENT</v>
          </cell>
          <cell r="L106">
            <v>0</v>
          </cell>
        </row>
        <row r="107">
          <cell r="B107" t="str">
            <v>OPERATIONAL &amp; ADMIN EQUIPMENT</v>
          </cell>
          <cell r="L107">
            <v>0</v>
          </cell>
        </row>
        <row r="108">
          <cell r="B108" t="str">
            <v>OPERATIONAL &amp; ADMIN EQUIPMENT</v>
          </cell>
          <cell r="L108">
            <v>0</v>
          </cell>
        </row>
        <row r="109">
          <cell r="B109" t="str">
            <v>OPERATIONAL &amp; ADMIN EQUIPMENT</v>
          </cell>
          <cell r="L109">
            <v>10000</v>
          </cell>
        </row>
        <row r="110">
          <cell r="B110" t="str">
            <v>OPERATIONAL &amp; ADMIN EQUIPMENT</v>
          </cell>
          <cell r="L110">
            <v>0</v>
          </cell>
        </row>
        <row r="111">
          <cell r="B111" t="str">
            <v>OPERATIONAL &amp; ADMIN EQUIPMENT</v>
          </cell>
          <cell r="L111">
            <v>0</v>
          </cell>
        </row>
        <row r="112">
          <cell r="B112" t="str">
            <v>OPERATIONAL &amp; ADMIN EQUIPMENT</v>
          </cell>
          <cell r="L112">
            <v>0</v>
          </cell>
        </row>
        <row r="113">
          <cell r="B113" t="str">
            <v>OPERATIONAL &amp; ADMIN EQUIPMENT</v>
          </cell>
          <cell r="L113">
            <v>40052.559999999998</v>
          </cell>
        </row>
        <row r="114">
          <cell r="B114" t="str">
            <v>OPERATIONAL &amp; ADMIN EQUIPMENT</v>
          </cell>
          <cell r="L114">
            <v>0</v>
          </cell>
        </row>
        <row r="115">
          <cell r="B115" t="str">
            <v>OPERATIONAL &amp; ADMIN EQUIPMENT</v>
          </cell>
          <cell r="L115">
            <v>0</v>
          </cell>
        </row>
        <row r="116">
          <cell r="B116" t="str">
            <v>OPERATIONAL &amp; ADMIN EQUIPMENT</v>
          </cell>
          <cell r="L116">
            <v>0</v>
          </cell>
        </row>
        <row r="117">
          <cell r="B117" t="str">
            <v>OPERATIONAL &amp; ADMIN EQUIPMENT</v>
          </cell>
          <cell r="L117">
            <v>2000</v>
          </cell>
        </row>
        <row r="118">
          <cell r="B118" t="str">
            <v>OPERATIONAL &amp; ADMIN EQUIPMENT</v>
          </cell>
          <cell r="L118">
            <v>0</v>
          </cell>
        </row>
        <row r="119">
          <cell r="B119" t="str">
            <v>OPERATIONAL &amp; ADMIN EQUIPMENT</v>
          </cell>
          <cell r="L119">
            <v>2000</v>
          </cell>
        </row>
        <row r="120">
          <cell r="B120" t="str">
            <v>OPERATIONAL &amp; ADMIN EQUIPMENT</v>
          </cell>
          <cell r="L120">
            <v>0</v>
          </cell>
        </row>
        <row r="121">
          <cell r="B121" t="str">
            <v>OPERATIONAL &amp; ADMIN EQUIPMENT</v>
          </cell>
          <cell r="L121">
            <v>0</v>
          </cell>
        </row>
        <row r="122">
          <cell r="B122" t="str">
            <v>OPERATIONAL &amp; ADMIN EQUIPMENT</v>
          </cell>
          <cell r="L122">
            <v>0</v>
          </cell>
        </row>
        <row r="123">
          <cell r="B123" t="str">
            <v>OPERATIONAL &amp; ADMIN EQUIPMENT</v>
          </cell>
          <cell r="L123">
            <v>12000</v>
          </cell>
        </row>
        <row r="124">
          <cell r="B124" t="str">
            <v>OPERATIONAL &amp; ADMIN EQUIPMENT</v>
          </cell>
          <cell r="L124">
            <v>30000</v>
          </cell>
        </row>
        <row r="125">
          <cell r="B125" t="str">
            <v>OPERATIONAL &amp; ADMIN EQUIPMENT</v>
          </cell>
          <cell r="L125">
            <v>0</v>
          </cell>
        </row>
        <row r="126">
          <cell r="B126" t="str">
            <v>PRINTING PHOTOCOPYING STATIONERY EXTC</v>
          </cell>
          <cell r="L126">
            <v>25000</v>
          </cell>
        </row>
        <row r="127">
          <cell r="B127" t="str">
            <v>PRINTING PHOTOCOPYING STATIONERY EXTC</v>
          </cell>
          <cell r="L127">
            <v>10000</v>
          </cell>
        </row>
        <row r="128">
          <cell r="B128" t="str">
            <v>PRINTING PHOTOCOPYING STATIONERY EXTC</v>
          </cell>
          <cell r="L128">
            <v>0</v>
          </cell>
        </row>
        <row r="129">
          <cell r="B129" t="str">
            <v>PRINTING PHOTOCOPYING STATIONERY EXTC</v>
          </cell>
          <cell r="L129">
            <v>1800</v>
          </cell>
        </row>
        <row r="130">
          <cell r="B130" t="str">
            <v>OPERATIONAL &amp; ADMIN EQUIPMENT</v>
          </cell>
          <cell r="L130">
            <v>4000</v>
          </cell>
        </row>
        <row r="131">
          <cell r="B131" t="str">
            <v>OPERATIONAL &amp; ADMIN EQUIPMENT</v>
          </cell>
          <cell r="L131">
            <v>7500</v>
          </cell>
        </row>
        <row r="132">
          <cell r="B132" t="str">
            <v>OPERATIONAL &amp; ADMIN EQUIPMENT</v>
          </cell>
          <cell r="L132">
            <v>1200</v>
          </cell>
        </row>
        <row r="133">
          <cell r="B133" t="str">
            <v>OPERATIONAL &amp; ADMIN EQUIPMENT</v>
          </cell>
          <cell r="L133">
            <v>0</v>
          </cell>
        </row>
        <row r="134">
          <cell r="B134" t="str">
            <v>OPERATIONAL &amp; ADMIN EQUIPMENT</v>
          </cell>
          <cell r="L134">
            <v>0</v>
          </cell>
        </row>
        <row r="135">
          <cell r="B135" t="str">
            <v>OPERATIONAL &amp; ADMIN EQUIPMENT</v>
          </cell>
          <cell r="L135">
            <v>0</v>
          </cell>
        </row>
        <row r="136">
          <cell r="B136" t="str">
            <v>OPERATIONAL &amp; ADMIN EQUIPMENT</v>
          </cell>
          <cell r="L136">
            <v>0</v>
          </cell>
        </row>
        <row r="137">
          <cell r="B137" t="str">
            <v>OPERATIONAL &amp; ADMIN EQUIPMENT</v>
          </cell>
          <cell r="L137">
            <v>0</v>
          </cell>
        </row>
        <row r="138">
          <cell r="B138" t="str">
            <v>DIVISIONAL INITIATIVES COMMUNITY SAFETY</v>
          </cell>
          <cell r="L138">
            <v>0</v>
          </cell>
        </row>
        <row r="139">
          <cell r="B139" t="str">
            <v>DIVISIONAL INITIATIVES COMMUNITY SAFETY</v>
          </cell>
          <cell r="L139">
            <v>0</v>
          </cell>
        </row>
        <row r="140">
          <cell r="B140" t="str">
            <v>DIVISIONAL INITIATIVES COMMUNITY SAFETY</v>
          </cell>
          <cell r="L140">
            <v>45000</v>
          </cell>
        </row>
        <row r="141">
          <cell r="B141" t="str">
            <v>DIVISIONAL INITIATIVES COMMUNITY SAFETY</v>
          </cell>
          <cell r="L141">
            <v>30000</v>
          </cell>
        </row>
        <row r="142">
          <cell r="B142" t="str">
            <v>DIVISIONAL INITIATIVES COMMUNITY SAFETY</v>
          </cell>
          <cell r="L142">
            <v>0</v>
          </cell>
        </row>
        <row r="143">
          <cell r="B143" t="str">
            <v>DIVISIONAL INITIATIVES COMMUNITY SAFETY</v>
          </cell>
          <cell r="L143">
            <v>0</v>
          </cell>
        </row>
        <row r="144">
          <cell r="B144" t="str">
            <v>DIVISIONAL INITIATIVES COMMUNITY SAFETY</v>
          </cell>
          <cell r="L144">
            <v>0</v>
          </cell>
        </row>
        <row r="145">
          <cell r="B145" t="str">
            <v>ID PARADES</v>
          </cell>
          <cell r="L145">
            <v>0</v>
          </cell>
        </row>
        <row r="146">
          <cell r="B146" t="str">
            <v>OTHER</v>
          </cell>
          <cell r="L146">
            <v>2400</v>
          </cell>
        </row>
        <row r="147">
          <cell r="B147" t="str">
            <v>OTHER</v>
          </cell>
          <cell r="L147">
            <v>0</v>
          </cell>
        </row>
        <row r="148">
          <cell r="B148" t="str">
            <v>OTHER</v>
          </cell>
          <cell r="L148">
            <v>0</v>
          </cell>
        </row>
        <row r="149">
          <cell r="B149" t="str">
            <v>OTHER</v>
          </cell>
          <cell r="L149">
            <v>0</v>
          </cell>
        </row>
        <row r="150">
          <cell r="B150" t="str">
            <v>OTHER</v>
          </cell>
          <cell r="L150">
            <v>0</v>
          </cell>
        </row>
        <row r="151">
          <cell r="B151" t="str">
            <v>OTHER</v>
          </cell>
          <cell r="L151">
            <v>0</v>
          </cell>
        </row>
        <row r="152">
          <cell r="B152" t="str">
            <v>OTHER</v>
          </cell>
          <cell r="L152">
            <v>0</v>
          </cell>
        </row>
        <row r="153">
          <cell r="B153" t="str">
            <v>OTHER</v>
          </cell>
          <cell r="L153">
            <v>0</v>
          </cell>
        </row>
        <row r="154">
          <cell r="B154" t="str">
            <v>OTHER</v>
          </cell>
          <cell r="L154">
            <v>0</v>
          </cell>
        </row>
        <row r="155">
          <cell r="B155" t="str">
            <v>OTHER</v>
          </cell>
          <cell r="L155">
            <v>0</v>
          </cell>
        </row>
        <row r="156">
          <cell r="B156" t="str">
            <v>OTHER</v>
          </cell>
          <cell r="L156">
            <v>0</v>
          </cell>
        </row>
        <row r="157">
          <cell r="B157" t="str">
            <v>VEHCLE RECOVERY</v>
          </cell>
          <cell r="L157">
            <v>0</v>
          </cell>
        </row>
        <row r="158">
          <cell r="B158" t="str">
            <v>OTHER</v>
          </cell>
          <cell r="L158">
            <v>0</v>
          </cell>
        </row>
        <row r="159">
          <cell r="B159" t="str">
            <v>OTHER</v>
          </cell>
          <cell r="L159">
            <v>0</v>
          </cell>
        </row>
        <row r="160">
          <cell r="B160" t="str">
            <v>OTHER</v>
          </cell>
          <cell r="L160">
            <v>0</v>
          </cell>
        </row>
        <row r="161">
          <cell r="B161" t="str">
            <v>OTHER</v>
          </cell>
          <cell r="L161">
            <v>0</v>
          </cell>
        </row>
        <row r="162">
          <cell r="B162" t="str">
            <v>OTHER</v>
          </cell>
          <cell r="L162">
            <v>0</v>
          </cell>
        </row>
        <row r="163">
          <cell r="B163" t="str">
            <v>OTHER</v>
          </cell>
          <cell r="L163">
            <v>0</v>
          </cell>
        </row>
        <row r="164">
          <cell r="B164" t="str">
            <v>REGIONAL COLLABORATION</v>
          </cell>
          <cell r="L164">
            <v>0</v>
          </cell>
        </row>
        <row r="165">
          <cell r="B165" t="str">
            <v>SUBSISTENCE HOTEL &amp; HOSPITALITY</v>
          </cell>
          <cell r="L165">
            <v>0</v>
          </cell>
        </row>
        <row r="166">
          <cell r="B166" t="str">
            <v>SUBSISTENCE HOTEL &amp; HOSPITALITY</v>
          </cell>
          <cell r="L166">
            <v>0</v>
          </cell>
        </row>
        <row r="167">
          <cell r="B167" t="str">
            <v>SUBSISTENCE HOTEL &amp; HOSPITALITY</v>
          </cell>
          <cell r="L167">
            <v>0</v>
          </cell>
        </row>
        <row r="168">
          <cell r="B168" t="str">
            <v>SUBSISTENCE HOTEL &amp; HOSPITALITY</v>
          </cell>
          <cell r="L168">
            <v>4000</v>
          </cell>
        </row>
        <row r="169">
          <cell r="B169" t="str">
            <v>SUBSISTENCE HOTEL &amp; HOSPITALITY</v>
          </cell>
          <cell r="L169">
            <v>31400</v>
          </cell>
        </row>
        <row r="170">
          <cell r="B170" t="str">
            <v>SUBSISTENCE HOTEL &amp; HOSPITALITY</v>
          </cell>
          <cell r="L170">
            <v>177000</v>
          </cell>
        </row>
        <row r="171">
          <cell r="B171" t="str">
            <v>SUBSISTENCE HOTEL &amp; HOSPITALITY</v>
          </cell>
          <cell r="L171">
            <v>7500</v>
          </cell>
        </row>
        <row r="172">
          <cell r="B172" t="str">
            <v>SUBSISTENCE HOTEL &amp; HOSPITALITY</v>
          </cell>
          <cell r="L172">
            <v>0</v>
          </cell>
        </row>
        <row r="173">
          <cell r="B173" t="str">
            <v>CAR ALLOWANCES &amp; TRAVEL EXPENSES</v>
          </cell>
          <cell r="L173">
            <v>15300</v>
          </cell>
        </row>
        <row r="174">
          <cell r="B174" t="str">
            <v>CAR ALLOWANCES &amp; TRAVEL EXPENSES</v>
          </cell>
          <cell r="L174">
            <v>30400</v>
          </cell>
        </row>
        <row r="175">
          <cell r="L175">
            <v>0</v>
          </cell>
        </row>
        <row r="176">
          <cell r="L176">
            <v>825352.56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B179" t="str">
            <v>CONTRACTED SUPPORT SERVICES</v>
          </cell>
          <cell r="L179">
            <v>0</v>
          </cell>
        </row>
        <row r="180">
          <cell r="B180" t="str">
            <v>CONTRACTED SUPPORT SERVICES</v>
          </cell>
          <cell r="L180">
            <v>0</v>
          </cell>
        </row>
        <row r="181">
          <cell r="B181" t="str">
            <v>AGENCY STAFF</v>
          </cell>
          <cell r="L181">
            <v>0</v>
          </cell>
        </row>
        <row r="182">
          <cell r="B182" t="str">
            <v>AGENCY STAFF</v>
          </cell>
          <cell r="L182">
            <v>20000</v>
          </cell>
        </row>
        <row r="183">
          <cell r="B183" t="str">
            <v>AGENCY STAFF</v>
          </cell>
          <cell r="L183">
            <v>24000</v>
          </cell>
        </row>
        <row r="184">
          <cell r="B184" t="str">
            <v>AGENCY STAFF</v>
          </cell>
          <cell r="L184">
            <v>0</v>
          </cell>
        </row>
        <row r="185">
          <cell r="B185" t="str">
            <v>AGENCY STAFF</v>
          </cell>
          <cell r="L185">
            <v>15000</v>
          </cell>
        </row>
        <row r="186">
          <cell r="B186" t="str">
            <v>AGENCY STAFF</v>
          </cell>
          <cell r="L186">
            <v>0</v>
          </cell>
        </row>
        <row r="187">
          <cell r="B187" t="str">
            <v>CONSULTANCY</v>
          </cell>
          <cell r="L187">
            <v>0</v>
          </cell>
        </row>
        <row r="188">
          <cell r="B188" t="str">
            <v>CONSULTANCY</v>
          </cell>
          <cell r="L188">
            <v>0</v>
          </cell>
        </row>
        <row r="189">
          <cell r="B189" t="str">
            <v>OFFICERS BORROWED FROM OTHER FORCES</v>
          </cell>
          <cell r="L189">
            <v>1132854</v>
          </cell>
        </row>
        <row r="190">
          <cell r="B190" t="str">
            <v>OFFICERS BORROWED FROM OTHER FORCES</v>
          </cell>
          <cell r="L190">
            <v>0</v>
          </cell>
        </row>
        <row r="191">
          <cell r="L191">
            <v>1191854</v>
          </cell>
        </row>
        <row r="194">
          <cell r="B194" t="str">
            <v>CAR ALLOWANCES &amp; TRAVEL EXPENSES</v>
          </cell>
          <cell r="L194">
            <v>0</v>
          </cell>
        </row>
        <row r="195">
          <cell r="B195" t="str">
            <v>CAR ALLOWANCES &amp; TRAVEL EXPENSES</v>
          </cell>
          <cell r="L195">
            <v>10500</v>
          </cell>
        </row>
        <row r="196">
          <cell r="B196" t="str">
            <v>VEHICLE FLEET</v>
          </cell>
          <cell r="L196">
            <v>287664</v>
          </cell>
        </row>
        <row r="197">
          <cell r="B197" t="str">
            <v>VEHICLE FLEET</v>
          </cell>
          <cell r="L197">
            <v>120008</v>
          </cell>
        </row>
        <row r="198">
          <cell r="B198" t="str">
            <v>VEHICLE FLEET</v>
          </cell>
          <cell r="L198">
            <v>0</v>
          </cell>
        </row>
        <row r="199">
          <cell r="B199" t="str">
            <v>VEHICLE FLEET</v>
          </cell>
          <cell r="L199">
            <v>0</v>
          </cell>
        </row>
        <row r="200">
          <cell r="B200" t="str">
            <v>VEHICLE FLEET</v>
          </cell>
          <cell r="L200">
            <v>0</v>
          </cell>
        </row>
        <row r="201">
          <cell r="B201" t="str">
            <v>VEHICLE FLEET</v>
          </cell>
          <cell r="L201">
            <v>0</v>
          </cell>
        </row>
        <row r="202">
          <cell r="B202" t="str">
            <v>VEHICLE FLEET</v>
          </cell>
          <cell r="L202">
            <v>0</v>
          </cell>
        </row>
        <row r="203">
          <cell r="B203" t="str">
            <v>VEHICLE FLEET</v>
          </cell>
          <cell r="L203">
            <v>0</v>
          </cell>
        </row>
        <row r="204">
          <cell r="B204" t="str">
            <v>VEHICLE FLEET</v>
          </cell>
          <cell r="L204">
            <v>0</v>
          </cell>
        </row>
        <row r="205">
          <cell r="B205" t="str">
            <v>VEHICLE FLEET</v>
          </cell>
          <cell r="L205">
            <v>2000</v>
          </cell>
        </row>
        <row r="206">
          <cell r="B206" t="str">
            <v>VEHICLE FLEET</v>
          </cell>
          <cell r="L206">
            <v>0</v>
          </cell>
        </row>
        <row r="207">
          <cell r="B207" t="str">
            <v>VEHICLE FLEET</v>
          </cell>
          <cell r="L207">
            <v>0</v>
          </cell>
        </row>
        <row r="208">
          <cell r="B208" t="str">
            <v>VEHICLE FLEET</v>
          </cell>
          <cell r="L208">
            <v>0</v>
          </cell>
        </row>
        <row r="209">
          <cell r="B209" t="str">
            <v>VEHICLE FLEET</v>
          </cell>
          <cell r="L209">
            <v>0</v>
          </cell>
        </row>
        <row r="210">
          <cell r="B210" t="str">
            <v>VEHICLE FLEET</v>
          </cell>
          <cell r="L210">
            <v>13500</v>
          </cell>
        </row>
        <row r="211">
          <cell r="B211" t="str">
            <v>VEHICLE FLEET</v>
          </cell>
          <cell r="L211">
            <v>0</v>
          </cell>
        </row>
        <row r="212">
          <cell r="B212" t="str">
            <v>VEHICLE FLEET</v>
          </cell>
          <cell r="L212">
            <v>0</v>
          </cell>
        </row>
        <row r="213">
          <cell r="B213" t="str">
            <v>VEHICLE FLEET</v>
          </cell>
          <cell r="L213">
            <v>0</v>
          </cell>
        </row>
        <row r="214">
          <cell r="B214" t="str">
            <v>VEHICLE FLEET</v>
          </cell>
          <cell r="L214">
            <v>0</v>
          </cell>
        </row>
        <row r="215">
          <cell r="B215" t="str">
            <v>HELICOPTER</v>
          </cell>
          <cell r="L215">
            <v>0</v>
          </cell>
        </row>
        <row r="216">
          <cell r="L216">
            <v>0</v>
          </cell>
        </row>
        <row r="217">
          <cell r="L217">
            <v>433672</v>
          </cell>
        </row>
        <row r="218">
          <cell r="B218" t="str">
            <v>INCOME</v>
          </cell>
          <cell r="L218">
            <v>0</v>
          </cell>
        </row>
        <row r="219">
          <cell r="B219" t="str">
            <v>INCOME</v>
          </cell>
          <cell r="L219">
            <v>0</v>
          </cell>
        </row>
        <row r="220">
          <cell r="B220" t="str">
            <v>INCOME</v>
          </cell>
          <cell r="L220">
            <v>0</v>
          </cell>
        </row>
        <row r="221">
          <cell r="B221" t="str">
            <v>INCOME</v>
          </cell>
          <cell r="L221">
            <v>0</v>
          </cell>
        </row>
        <row r="222">
          <cell r="B222" t="str">
            <v>INCOME</v>
          </cell>
          <cell r="L222">
            <v>0</v>
          </cell>
        </row>
        <row r="223">
          <cell r="B223" t="str">
            <v>INCOME</v>
          </cell>
          <cell r="L223">
            <v>0</v>
          </cell>
        </row>
        <row r="224">
          <cell r="B224" t="str">
            <v>INCOME</v>
          </cell>
          <cell r="L224">
            <v>0</v>
          </cell>
        </row>
        <row r="225">
          <cell r="B225" t="str">
            <v>INCOME</v>
          </cell>
          <cell r="L225">
            <v>0</v>
          </cell>
        </row>
        <row r="226">
          <cell r="B226" t="str">
            <v>INCOME</v>
          </cell>
          <cell r="L226">
            <v>0</v>
          </cell>
        </row>
        <row r="227">
          <cell r="B227" t="str">
            <v>INCOME</v>
          </cell>
          <cell r="L227">
            <v>0</v>
          </cell>
        </row>
        <row r="228">
          <cell r="B228" t="str">
            <v>INCOME</v>
          </cell>
          <cell r="L228">
            <v>0</v>
          </cell>
        </row>
        <row r="229">
          <cell r="B229" t="str">
            <v>INCOME</v>
          </cell>
          <cell r="L229">
            <v>0</v>
          </cell>
        </row>
        <row r="230">
          <cell r="B230" t="str">
            <v>INCOME</v>
          </cell>
          <cell r="L230">
            <v>0</v>
          </cell>
        </row>
        <row r="231">
          <cell r="B231" t="str">
            <v>INCOME</v>
          </cell>
          <cell r="L231">
            <v>0</v>
          </cell>
        </row>
        <row r="232">
          <cell r="B232" t="str">
            <v>INCOME</v>
          </cell>
          <cell r="L232">
            <v>0</v>
          </cell>
        </row>
        <row r="233">
          <cell r="B233" t="str">
            <v>INCOME</v>
          </cell>
          <cell r="L233">
            <v>0</v>
          </cell>
        </row>
        <row r="234">
          <cell r="B234" t="str">
            <v>INCOME</v>
          </cell>
          <cell r="L234">
            <v>0</v>
          </cell>
        </row>
        <row r="235">
          <cell r="B235" t="str">
            <v>INCOME</v>
          </cell>
          <cell r="L235">
            <v>0</v>
          </cell>
        </row>
        <row r="236">
          <cell r="B236" t="str">
            <v>INCOME</v>
          </cell>
          <cell r="L236">
            <v>0</v>
          </cell>
        </row>
        <row r="237">
          <cell r="B237" t="str">
            <v>INCOME</v>
          </cell>
          <cell r="L237">
            <v>0</v>
          </cell>
        </row>
        <row r="238">
          <cell r="B238" t="str">
            <v>INCOME</v>
          </cell>
          <cell r="L238">
            <v>0</v>
          </cell>
        </row>
        <row r="239">
          <cell r="B239" t="str">
            <v>INCOME</v>
          </cell>
          <cell r="L239">
            <v>0</v>
          </cell>
        </row>
        <row r="240">
          <cell r="B240" t="str">
            <v>INCOME</v>
          </cell>
          <cell r="L240">
            <v>0</v>
          </cell>
        </row>
        <row r="241">
          <cell r="B241" t="str">
            <v>INCOME</v>
          </cell>
          <cell r="L241">
            <v>0</v>
          </cell>
        </row>
        <row r="242">
          <cell r="B242" t="str">
            <v>INCOME</v>
          </cell>
          <cell r="L242">
            <v>0</v>
          </cell>
        </row>
        <row r="243">
          <cell r="B243" t="str">
            <v>INCOME</v>
          </cell>
          <cell r="L243">
            <v>0</v>
          </cell>
        </row>
        <row r="244">
          <cell r="B244" t="str">
            <v>INCOME</v>
          </cell>
          <cell r="L244">
            <v>0</v>
          </cell>
        </row>
        <row r="245">
          <cell r="B245" t="str">
            <v>INCOME</v>
          </cell>
          <cell r="L245">
            <v>0</v>
          </cell>
        </row>
        <row r="246">
          <cell r="B246" t="str">
            <v>INCOME</v>
          </cell>
          <cell r="L246">
            <v>-71212</v>
          </cell>
        </row>
        <row r="247">
          <cell r="B247" t="str">
            <v>INCOME</v>
          </cell>
          <cell r="L247">
            <v>0</v>
          </cell>
        </row>
        <row r="248">
          <cell r="B248" t="str">
            <v>INCOME</v>
          </cell>
          <cell r="L248">
            <v>0</v>
          </cell>
        </row>
        <row r="249">
          <cell r="B249" t="str">
            <v>INCOME</v>
          </cell>
          <cell r="L249">
            <v>0</v>
          </cell>
        </row>
        <row r="250">
          <cell r="B250" t="str">
            <v>INCOME</v>
          </cell>
          <cell r="L250">
            <v>0</v>
          </cell>
        </row>
        <row r="251">
          <cell r="B251" t="str">
            <v>INCOME</v>
          </cell>
          <cell r="L251">
            <v>0</v>
          </cell>
        </row>
        <row r="252">
          <cell r="B252" t="str">
            <v>INCOME</v>
          </cell>
          <cell r="L252">
            <v>0</v>
          </cell>
        </row>
        <row r="253">
          <cell r="B253" t="str">
            <v>INCOME</v>
          </cell>
          <cell r="L253">
            <v>0</v>
          </cell>
        </row>
        <row r="254">
          <cell r="B254" t="str">
            <v>INCOME</v>
          </cell>
          <cell r="L254">
            <v>0</v>
          </cell>
        </row>
        <row r="255">
          <cell r="B255" t="str">
            <v>INCOME</v>
          </cell>
          <cell r="L255">
            <v>0</v>
          </cell>
        </row>
        <row r="256">
          <cell r="B256" t="str">
            <v>INCOME</v>
          </cell>
          <cell r="L256">
            <v>0</v>
          </cell>
        </row>
        <row r="257">
          <cell r="B257" t="str">
            <v>INCOME</v>
          </cell>
          <cell r="L257">
            <v>-1134830</v>
          </cell>
        </row>
        <row r="258">
          <cell r="B258" t="str">
            <v>INCOME</v>
          </cell>
          <cell r="L258">
            <v>0</v>
          </cell>
        </row>
        <row r="259">
          <cell r="B259" t="str">
            <v>INCOME</v>
          </cell>
          <cell r="L259">
            <v>-19314625</v>
          </cell>
        </row>
        <row r="260">
          <cell r="B260" t="str">
            <v>INCOME</v>
          </cell>
          <cell r="L260">
            <v>0</v>
          </cell>
        </row>
        <row r="261">
          <cell r="B261" t="str">
            <v>INCOME</v>
          </cell>
          <cell r="L261">
            <v>0</v>
          </cell>
        </row>
        <row r="262">
          <cell r="B262" t="str">
            <v>INCOME</v>
          </cell>
          <cell r="L262">
            <v>0</v>
          </cell>
        </row>
        <row r="263">
          <cell r="B263" t="str">
            <v>INCOME</v>
          </cell>
          <cell r="L263">
            <v>0</v>
          </cell>
        </row>
        <row r="264">
          <cell r="B264" t="str">
            <v>INCOME</v>
          </cell>
          <cell r="L264">
            <v>0</v>
          </cell>
        </row>
        <row r="265">
          <cell r="B265" t="str">
            <v>INCOME</v>
          </cell>
          <cell r="L265">
            <v>0</v>
          </cell>
        </row>
        <row r="266">
          <cell r="B266" t="str">
            <v>INCOME</v>
          </cell>
          <cell r="L266">
            <v>0</v>
          </cell>
        </row>
        <row r="267">
          <cell r="B267" t="str">
            <v>INCOME</v>
          </cell>
          <cell r="L267">
            <v>0</v>
          </cell>
        </row>
        <row r="268">
          <cell r="B268" t="str">
            <v>INCOME</v>
          </cell>
          <cell r="L268">
            <v>0</v>
          </cell>
        </row>
        <row r="269">
          <cell r="B269" t="str">
            <v>INCOME</v>
          </cell>
          <cell r="L269">
            <v>0</v>
          </cell>
        </row>
        <row r="271">
          <cell r="B271" t="str">
            <v>INTERNAL RECHARGES</v>
          </cell>
          <cell r="L271">
            <v>0</v>
          </cell>
        </row>
        <row r="272">
          <cell r="B272" t="str">
            <v>INTERNAL RECHARGES</v>
          </cell>
          <cell r="L272">
            <v>0</v>
          </cell>
        </row>
        <row r="273">
          <cell r="B273" t="str">
            <v>INTERNAL RECHARGES</v>
          </cell>
          <cell r="L273">
            <v>1785019</v>
          </cell>
        </row>
        <row r="274">
          <cell r="B274" t="str">
            <v>INTERNAL RECHARGES</v>
          </cell>
          <cell r="L274">
            <v>0</v>
          </cell>
        </row>
        <row r="275">
          <cell r="B275" t="str">
            <v>INTERNAL RECHARGES</v>
          </cell>
          <cell r="L275">
            <v>0</v>
          </cell>
        </row>
        <row r="276">
          <cell r="B276" t="str">
            <v>INTERNAL RECHARGES</v>
          </cell>
          <cell r="L276">
            <v>0</v>
          </cell>
        </row>
        <row r="277">
          <cell r="B277" t="str">
            <v>INTERNAL RECHARGES</v>
          </cell>
          <cell r="L277">
            <v>22510</v>
          </cell>
        </row>
        <row r="278">
          <cell r="B278" t="str">
            <v>INTERNAL RECHARGES</v>
          </cell>
          <cell r="L278">
            <v>0</v>
          </cell>
        </row>
        <row r="279">
          <cell r="B279" t="str">
            <v>INTERNAL RECHARGES</v>
          </cell>
          <cell r="L279">
            <v>0</v>
          </cell>
        </row>
        <row r="280">
          <cell r="B280" t="str">
            <v>INTERNAL RECHARGES</v>
          </cell>
          <cell r="L280">
            <v>0</v>
          </cell>
        </row>
        <row r="281">
          <cell r="B281" t="str">
            <v>INTERNAL RECHARGES</v>
          </cell>
          <cell r="L281">
            <v>57624</v>
          </cell>
        </row>
        <row r="282">
          <cell r="B282" t="str">
            <v>INTERNAL RECHARGES</v>
          </cell>
          <cell r="L282">
            <v>0</v>
          </cell>
        </row>
        <row r="283">
          <cell r="B283" t="str">
            <v>INTERNAL RECHARGES</v>
          </cell>
          <cell r="L283">
            <v>0</v>
          </cell>
        </row>
        <row r="284">
          <cell r="L284">
            <v>-18655514</v>
          </cell>
        </row>
        <row r="285">
          <cell r="L285">
            <v>0</v>
          </cell>
        </row>
        <row r="286">
          <cell r="L286">
            <v>0</v>
          </cell>
        </row>
      </sheetData>
      <sheetData sheetId="17"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N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W9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W12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W15">
            <v>0</v>
          </cell>
        </row>
        <row r="29">
          <cell r="N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W29">
            <v>3271.0446999999999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0</v>
          </cell>
        </row>
      </sheetData>
      <sheetData sheetId="18"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N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W9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W12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W15">
            <v>0</v>
          </cell>
        </row>
        <row r="25">
          <cell r="O25">
            <v>11308</v>
          </cell>
        </row>
        <row r="29">
          <cell r="N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W29">
            <v>2521.969333333333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0</v>
          </cell>
        </row>
        <row r="285">
          <cell r="L285">
            <v>201929.59999999998</v>
          </cell>
          <cell r="W285">
            <v>250.969333333333</v>
          </cell>
        </row>
      </sheetData>
      <sheetData sheetId="19"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N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W9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W12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W15">
            <v>0</v>
          </cell>
        </row>
        <row r="25">
          <cell r="O25">
            <v>31081</v>
          </cell>
        </row>
        <row r="29">
          <cell r="N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W29">
            <v>6932.7297666666673</v>
          </cell>
        </row>
        <row r="35">
          <cell r="W35">
            <v>14.583333333333336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302.66833333333335</v>
          </cell>
        </row>
        <row r="143">
          <cell r="E143">
            <v>3915584</v>
          </cell>
        </row>
        <row r="242">
          <cell r="Z242">
            <v>10639.247181000002</v>
          </cell>
          <cell r="AA242">
            <v>10745.639652810001</v>
          </cell>
          <cell r="AB242">
            <v>10853.096049338101</v>
          </cell>
        </row>
        <row r="270">
          <cell r="E270">
            <v>2474542</v>
          </cell>
          <cell r="O270">
            <v>-1098000</v>
          </cell>
        </row>
        <row r="285">
          <cell r="L285">
            <v>7980431.96</v>
          </cell>
          <cell r="W285">
            <v>10990.7381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74"/>
  <sheetViews>
    <sheetView workbookViewId="0">
      <selection activeCell="G18" sqref="G18"/>
    </sheetView>
  </sheetViews>
  <sheetFormatPr defaultRowHeight="12.75" x14ac:dyDescent="0.2"/>
  <cols>
    <col min="1" max="1" width="4.28515625" style="7" customWidth="1"/>
    <col min="2" max="2" width="9.140625" style="7"/>
    <col min="3" max="3" width="11.7109375" style="7" customWidth="1"/>
    <col min="4" max="4" width="10.28515625" style="7" customWidth="1"/>
    <col min="5" max="6" width="9.140625" style="7"/>
    <col min="7" max="7" width="10.7109375" style="7" customWidth="1"/>
    <col min="8" max="8" width="9.7109375" style="7" bestFit="1" customWidth="1"/>
    <col min="9" max="9" width="9.140625" style="7"/>
    <col min="10" max="10" width="12.85546875" style="9" customWidth="1"/>
    <col min="11" max="16384" width="9.140625" style="7"/>
  </cols>
  <sheetData>
    <row r="1" spans="2:14" s="1" customFormat="1" ht="15.75" x14ac:dyDescent="0.25">
      <c r="C1" s="2" t="s">
        <v>0</v>
      </c>
      <c r="J1" s="3"/>
    </row>
    <row r="4" spans="2:14" s="1" customFormat="1" x14ac:dyDescent="0.2">
      <c r="B4" s="1" t="s">
        <v>1</v>
      </c>
      <c r="H4" s="4" t="s">
        <v>2</v>
      </c>
      <c r="I4" s="5" t="s">
        <v>2</v>
      </c>
      <c r="J4" s="6" t="s">
        <v>3</v>
      </c>
    </row>
    <row r="8" spans="2:14" x14ac:dyDescent="0.2">
      <c r="B8" s="1" t="s">
        <v>4</v>
      </c>
      <c r="C8" s="1"/>
      <c r="D8" s="1"/>
      <c r="E8" s="1"/>
      <c r="H8" s="8"/>
      <c r="I8" s="8">
        <v>405329</v>
      </c>
      <c r="L8" s="8"/>
      <c r="M8" s="8"/>
    </row>
    <row r="9" spans="2:14" x14ac:dyDescent="0.2">
      <c r="B9" s="10" t="s">
        <v>5</v>
      </c>
      <c r="C9" s="1"/>
      <c r="D9" s="1"/>
      <c r="E9" s="1"/>
      <c r="H9" s="8"/>
      <c r="I9" s="8">
        <v>1098</v>
      </c>
      <c r="L9" s="8"/>
      <c r="M9" s="8"/>
      <c r="N9" s="8"/>
    </row>
    <row r="10" spans="2:14" x14ac:dyDescent="0.2">
      <c r="B10" s="10" t="s">
        <v>6</v>
      </c>
      <c r="C10" s="1"/>
      <c r="D10" s="1"/>
      <c r="E10" s="1"/>
      <c r="H10" s="8"/>
      <c r="I10" s="8">
        <v>1750</v>
      </c>
      <c r="L10" s="8"/>
      <c r="M10" s="8"/>
    </row>
    <row r="11" spans="2:14" x14ac:dyDescent="0.2">
      <c r="B11" s="1" t="s">
        <v>7</v>
      </c>
      <c r="C11" s="1"/>
      <c r="D11" s="1"/>
      <c r="E11" s="1"/>
      <c r="H11" s="8"/>
      <c r="I11" s="11">
        <f>SUM(I8:I10)</f>
        <v>408177</v>
      </c>
      <c r="M11" s="8"/>
    </row>
    <row r="12" spans="2:14" x14ac:dyDescent="0.2">
      <c r="B12" s="1"/>
      <c r="C12" s="1"/>
      <c r="D12" s="1"/>
      <c r="E12" s="1"/>
      <c r="H12" s="8"/>
      <c r="I12" s="11"/>
      <c r="M12" s="8"/>
    </row>
    <row r="13" spans="2:14" x14ac:dyDescent="0.2">
      <c r="B13" s="12" t="s">
        <v>8</v>
      </c>
      <c r="C13" s="12"/>
      <c r="D13" s="12"/>
      <c r="E13" s="12"/>
      <c r="F13" s="12"/>
      <c r="G13" s="12"/>
      <c r="H13" s="13"/>
      <c r="I13" s="13">
        <v>1062</v>
      </c>
      <c r="M13" s="8"/>
    </row>
    <row r="14" spans="2:14" x14ac:dyDescent="0.2">
      <c r="B14" s="12" t="s">
        <v>9</v>
      </c>
      <c r="C14" s="12"/>
      <c r="D14" s="12"/>
      <c r="E14" s="12"/>
      <c r="F14" s="12"/>
      <c r="G14" s="12"/>
      <c r="H14" s="13"/>
      <c r="I14" s="13">
        <v>131</v>
      </c>
      <c r="M14" s="8"/>
    </row>
    <row r="15" spans="2:14" x14ac:dyDescent="0.2">
      <c r="B15" s="1" t="s">
        <v>10</v>
      </c>
      <c r="C15" s="1"/>
      <c r="D15" s="1"/>
      <c r="E15" s="1"/>
      <c r="H15" s="8"/>
      <c r="I15" s="11">
        <f>SUM(I11:I14)</f>
        <v>409370</v>
      </c>
      <c r="M15" s="8"/>
    </row>
    <row r="16" spans="2:14" x14ac:dyDescent="0.2">
      <c r="B16" s="1"/>
      <c r="C16" s="1"/>
      <c r="D16" s="1"/>
      <c r="E16" s="1"/>
      <c r="H16" s="8"/>
      <c r="I16" s="11"/>
      <c r="M16" s="8"/>
    </row>
    <row r="17" spans="1:15" x14ac:dyDescent="0.2">
      <c r="B17" s="7" t="s">
        <v>11</v>
      </c>
      <c r="H17" s="8" t="s">
        <v>1</v>
      </c>
      <c r="I17" s="8"/>
    </row>
    <row r="18" spans="1:15" x14ac:dyDescent="0.2">
      <c r="A18" s="14"/>
      <c r="B18" s="7" t="s">
        <v>12</v>
      </c>
      <c r="H18" s="8"/>
      <c r="I18" s="8"/>
    </row>
    <row r="19" spans="1:15" x14ac:dyDescent="0.2">
      <c r="B19" s="7" t="s">
        <v>13</v>
      </c>
      <c r="H19" s="15">
        <v>2452</v>
      </c>
      <c r="I19" s="15"/>
      <c r="J19" s="16"/>
      <c r="K19" s="17"/>
      <c r="L19" s="18"/>
      <c r="M19" s="8"/>
    </row>
    <row r="20" spans="1:15" x14ac:dyDescent="0.2">
      <c r="B20" s="7" t="s">
        <v>14</v>
      </c>
      <c r="H20" s="15">
        <v>720</v>
      </c>
      <c r="I20" s="15"/>
      <c r="J20" s="16"/>
      <c r="K20" s="17"/>
      <c r="L20" s="18"/>
      <c r="M20" s="8"/>
    </row>
    <row r="21" spans="1:15" x14ac:dyDescent="0.2">
      <c r="B21" s="7" t="s">
        <v>15</v>
      </c>
      <c r="H21" s="19">
        <f>255+39.052</f>
        <v>294.05200000000002</v>
      </c>
      <c r="I21" s="15">
        <f>SUM(H19:H21)</f>
        <v>3466.0520000000001</v>
      </c>
      <c r="J21" s="16">
        <f>+I21/$I$8%</f>
        <v>0.85512065507279278</v>
      </c>
      <c r="K21" s="17"/>
      <c r="L21" s="8"/>
      <c r="M21" s="8"/>
      <c r="O21" s="8"/>
    </row>
    <row r="22" spans="1:15" x14ac:dyDescent="0.2">
      <c r="H22" s="15"/>
      <c r="I22" s="15"/>
      <c r="J22" s="16"/>
      <c r="K22" s="17"/>
      <c r="L22" s="18"/>
    </row>
    <row r="23" spans="1:15" x14ac:dyDescent="0.2">
      <c r="H23" s="15"/>
      <c r="I23" s="15"/>
      <c r="J23" s="16"/>
      <c r="K23" s="17"/>
      <c r="L23" s="18"/>
    </row>
    <row r="24" spans="1:15" x14ac:dyDescent="0.2">
      <c r="A24" s="14"/>
      <c r="B24" s="7" t="s">
        <v>16</v>
      </c>
      <c r="H24" s="15"/>
      <c r="I24" s="15"/>
      <c r="J24" s="16"/>
      <c r="K24" s="17"/>
      <c r="L24" s="18"/>
    </row>
    <row r="25" spans="1:15" x14ac:dyDescent="0.2">
      <c r="B25" s="7" t="s">
        <v>17</v>
      </c>
      <c r="H25" s="15"/>
      <c r="I25" s="15"/>
      <c r="J25" s="16"/>
      <c r="K25" s="17"/>
      <c r="L25" s="20"/>
      <c r="M25" s="15"/>
      <c r="N25" s="8" t="s">
        <v>1</v>
      </c>
    </row>
    <row r="26" spans="1:15" x14ac:dyDescent="0.2">
      <c r="B26" s="7" t="s">
        <v>18</v>
      </c>
      <c r="H26" s="19">
        <f>393.703+49.6+20</f>
        <v>463.303</v>
      </c>
      <c r="I26" s="15">
        <f>SUM(H25:H26)</f>
        <v>463.303</v>
      </c>
      <c r="J26" s="16">
        <f>+I26/$I$8%</f>
        <v>0.11430294896244779</v>
      </c>
      <c r="K26" s="17"/>
      <c r="L26" s="15"/>
      <c r="M26" s="15"/>
      <c r="N26" s="8"/>
      <c r="O26" s="8"/>
    </row>
    <row r="27" spans="1:15" x14ac:dyDescent="0.2">
      <c r="H27" s="15"/>
      <c r="I27" s="15"/>
      <c r="J27" s="16"/>
      <c r="K27" s="17"/>
      <c r="L27" s="18"/>
    </row>
    <row r="28" spans="1:15" x14ac:dyDescent="0.2">
      <c r="A28" s="14"/>
      <c r="B28" s="7" t="s">
        <v>19</v>
      </c>
      <c r="H28" s="15"/>
      <c r="I28" s="15"/>
      <c r="J28" s="16"/>
      <c r="K28" s="17"/>
      <c r="L28" s="18"/>
    </row>
    <row r="29" spans="1:15" x14ac:dyDescent="0.2">
      <c r="A29" s="14"/>
      <c r="B29" s="7" t="s">
        <v>20</v>
      </c>
      <c r="H29" s="15">
        <v>4011.57</v>
      </c>
      <c r="I29" s="15"/>
      <c r="J29" s="16"/>
      <c r="K29" s="17"/>
      <c r="L29" s="18"/>
      <c r="M29" s="8"/>
      <c r="N29" s="8"/>
    </row>
    <row r="30" spans="1:15" x14ac:dyDescent="0.2">
      <c r="A30" s="14"/>
      <c r="B30" s="12" t="s">
        <v>21</v>
      </c>
      <c r="H30" s="15">
        <f>6345+3121</f>
        <v>9466</v>
      </c>
      <c r="I30" s="15"/>
      <c r="J30" s="16"/>
      <c r="K30" s="17"/>
      <c r="L30" s="18"/>
      <c r="M30" s="8"/>
      <c r="N30" s="8"/>
    </row>
    <row r="31" spans="1:15" x14ac:dyDescent="0.2">
      <c r="A31" s="14"/>
      <c r="B31" s="12" t="s">
        <v>22</v>
      </c>
      <c r="H31" s="15">
        <v>2048.701</v>
      </c>
      <c r="I31" s="15"/>
      <c r="J31" s="16"/>
      <c r="K31" s="17"/>
      <c r="L31" s="18"/>
      <c r="M31" s="8"/>
      <c r="N31" s="8"/>
    </row>
    <row r="32" spans="1:15" x14ac:dyDescent="0.2">
      <c r="B32" s="7" t="s">
        <v>23</v>
      </c>
      <c r="H32" s="15">
        <v>458.38</v>
      </c>
      <c r="I32" s="15"/>
      <c r="J32" s="16"/>
      <c r="K32" s="17"/>
      <c r="L32" s="18"/>
      <c r="M32" s="8"/>
      <c r="N32" s="8"/>
    </row>
    <row r="33" spans="1:14" x14ac:dyDescent="0.2">
      <c r="B33" s="7" t="s">
        <v>24</v>
      </c>
      <c r="H33" s="15">
        <v>121</v>
      </c>
      <c r="I33" s="15"/>
      <c r="J33" s="16"/>
      <c r="K33" s="17"/>
      <c r="L33" s="18"/>
      <c r="M33" s="8"/>
      <c r="N33" s="8"/>
    </row>
    <row r="34" spans="1:14" x14ac:dyDescent="0.2">
      <c r="B34" s="7" t="s">
        <v>25</v>
      </c>
      <c r="H34" s="15">
        <v>230.4</v>
      </c>
      <c r="I34" s="15"/>
      <c r="J34" s="16"/>
      <c r="K34" s="17"/>
      <c r="L34" s="18"/>
      <c r="M34" s="8"/>
      <c r="N34" s="8"/>
    </row>
    <row r="35" spans="1:14" x14ac:dyDescent="0.2">
      <c r="B35" s="7" t="s">
        <v>26</v>
      </c>
      <c r="H35" s="15">
        <v>472.16399999999999</v>
      </c>
      <c r="I35" s="15"/>
      <c r="J35" s="16"/>
      <c r="K35" s="17"/>
      <c r="L35" s="18"/>
      <c r="M35" s="8"/>
      <c r="N35" s="8"/>
    </row>
    <row r="36" spans="1:14" x14ac:dyDescent="0.2">
      <c r="B36" s="12" t="s">
        <v>27</v>
      </c>
      <c r="H36" s="15">
        <v>689.71799999999996</v>
      </c>
      <c r="I36" s="15"/>
      <c r="J36" s="16"/>
      <c r="K36" s="17"/>
      <c r="L36" s="18"/>
      <c r="M36" s="8"/>
      <c r="N36" s="8"/>
    </row>
    <row r="37" spans="1:14" x14ac:dyDescent="0.2">
      <c r="B37" s="12" t="s">
        <v>28</v>
      </c>
      <c r="H37" s="15">
        <v>908.28</v>
      </c>
      <c r="I37" s="15"/>
      <c r="J37" s="16"/>
      <c r="K37" s="17"/>
      <c r="L37" s="18"/>
      <c r="M37" s="8"/>
      <c r="N37" s="8"/>
    </row>
    <row r="38" spans="1:14" x14ac:dyDescent="0.2">
      <c r="B38" s="12" t="s">
        <v>29</v>
      </c>
      <c r="H38" s="15">
        <f>272+34+130</f>
        <v>436</v>
      </c>
      <c r="I38" s="15"/>
      <c r="J38" s="16"/>
      <c r="K38" s="17"/>
      <c r="L38" s="18"/>
      <c r="M38" s="8"/>
      <c r="N38" s="8"/>
    </row>
    <row r="39" spans="1:14" x14ac:dyDescent="0.2">
      <c r="B39" s="12" t="s">
        <v>30</v>
      </c>
      <c r="H39" s="15">
        <f>192.648-75</f>
        <v>117.648</v>
      </c>
      <c r="I39" s="15"/>
      <c r="J39" s="16"/>
      <c r="K39" s="17"/>
      <c r="L39" s="18"/>
      <c r="M39" s="8"/>
      <c r="N39" s="8"/>
    </row>
    <row r="40" spans="1:14" x14ac:dyDescent="0.2">
      <c r="B40" s="12" t="s">
        <v>31</v>
      </c>
      <c r="H40" s="15">
        <v>300</v>
      </c>
      <c r="I40" s="15"/>
      <c r="J40" s="16"/>
      <c r="K40" s="17"/>
      <c r="L40" s="18"/>
      <c r="M40" s="8"/>
      <c r="N40" s="8"/>
    </row>
    <row r="41" spans="1:14" x14ac:dyDescent="0.2">
      <c r="B41" s="12" t="s">
        <v>32</v>
      </c>
      <c r="H41" s="15">
        <v>457.76</v>
      </c>
      <c r="I41" s="15"/>
      <c r="J41" s="16"/>
      <c r="K41" s="17"/>
      <c r="L41" s="18"/>
      <c r="M41" s="8"/>
      <c r="N41" s="8"/>
    </row>
    <row r="42" spans="1:14" x14ac:dyDescent="0.2">
      <c r="B42" s="12" t="s">
        <v>33</v>
      </c>
      <c r="H42" s="15">
        <v>400</v>
      </c>
      <c r="I42" s="15"/>
      <c r="J42" s="16"/>
      <c r="K42" s="17"/>
      <c r="L42" s="18"/>
      <c r="M42" s="8"/>
      <c r="N42" s="8"/>
    </row>
    <row r="43" spans="1:14" x14ac:dyDescent="0.2">
      <c r="B43" s="12" t="s">
        <v>34</v>
      </c>
      <c r="H43" s="15">
        <f>152+40+75+131+70+25.2</f>
        <v>493.2</v>
      </c>
      <c r="I43" s="15">
        <f>SUM(H29:H43)</f>
        <v>20610.821</v>
      </c>
      <c r="J43" s="16">
        <f>+I43/$I$8%</f>
        <v>5.0849608589565518</v>
      </c>
      <c r="K43" s="17"/>
      <c r="L43" s="18"/>
      <c r="M43" s="8"/>
      <c r="N43" s="8"/>
    </row>
    <row r="44" spans="1:14" x14ac:dyDescent="0.2">
      <c r="B44" s="12"/>
      <c r="H44" s="21"/>
      <c r="I44" s="15"/>
      <c r="J44" s="16"/>
      <c r="K44" s="17"/>
      <c r="L44" s="8"/>
      <c r="M44" s="8"/>
    </row>
    <row r="45" spans="1:14" x14ac:dyDescent="0.2">
      <c r="B45" s="7" t="s">
        <v>35</v>
      </c>
      <c r="H45" s="22"/>
      <c r="I45" s="15"/>
      <c r="J45" s="16"/>
      <c r="K45" s="17"/>
      <c r="M45" s="8"/>
      <c r="N45" s="8"/>
    </row>
    <row r="46" spans="1:14" x14ac:dyDescent="0.2">
      <c r="B46" s="7" t="s">
        <v>36</v>
      </c>
      <c r="H46" s="15">
        <v>1055.3679999999999</v>
      </c>
      <c r="I46" s="8">
        <f>SUM(H46)</f>
        <v>1055.3679999999999</v>
      </c>
      <c r="J46" s="16">
        <f>+I46/$I$8%</f>
        <v>0.26037317833167622</v>
      </c>
      <c r="K46" s="17"/>
      <c r="M46" s="8"/>
      <c r="N46" s="8"/>
    </row>
    <row r="47" spans="1:14" x14ac:dyDescent="0.2">
      <c r="B47" s="12"/>
      <c r="H47" s="15"/>
      <c r="I47" s="15"/>
      <c r="J47" s="16"/>
      <c r="K47" s="17"/>
      <c r="M47" s="8"/>
      <c r="N47" s="8"/>
    </row>
    <row r="48" spans="1:14" x14ac:dyDescent="0.2">
      <c r="A48" s="14"/>
      <c r="B48" s="7" t="s">
        <v>37</v>
      </c>
      <c r="H48" s="15"/>
      <c r="I48" s="15" t="s">
        <v>1</v>
      </c>
      <c r="J48" s="16" t="s">
        <v>1</v>
      </c>
      <c r="K48" s="17"/>
      <c r="M48" s="8"/>
    </row>
    <row r="49" spans="1:14" x14ac:dyDescent="0.2">
      <c r="A49" s="14"/>
      <c r="B49" s="7" t="s">
        <v>38</v>
      </c>
      <c r="H49" s="15">
        <f>-6057.889+2344</f>
        <v>-3713.8890000000001</v>
      </c>
      <c r="I49" s="15"/>
      <c r="J49" s="16"/>
      <c r="K49" s="17"/>
      <c r="M49" s="8"/>
    </row>
    <row r="50" spans="1:14" x14ac:dyDescent="0.2">
      <c r="A50" s="14"/>
      <c r="B50" s="7" t="s">
        <v>39</v>
      </c>
      <c r="H50" s="15">
        <v>-4500</v>
      </c>
      <c r="I50" s="15"/>
      <c r="J50" s="16"/>
      <c r="K50" s="17"/>
      <c r="M50" s="8"/>
    </row>
    <row r="51" spans="1:14" x14ac:dyDescent="0.2">
      <c r="A51" s="14"/>
      <c r="B51" s="12" t="s">
        <v>40</v>
      </c>
      <c r="H51" s="15">
        <f>-6926.167+2174-H54-6254.717-39.052+328.816+662</f>
        <v>-8902.6529999999984</v>
      </c>
      <c r="I51" s="15"/>
      <c r="J51" s="16"/>
      <c r="K51" s="17"/>
      <c r="L51" s="17"/>
      <c r="M51" s="15"/>
      <c r="N51" s="17"/>
    </row>
    <row r="52" spans="1:14" x14ac:dyDescent="0.2">
      <c r="A52" s="14"/>
      <c r="B52" s="7" t="s">
        <v>41</v>
      </c>
      <c r="H52" s="15">
        <v>-788.63</v>
      </c>
      <c r="I52" s="15"/>
      <c r="J52" s="16"/>
      <c r="K52" s="17"/>
      <c r="M52" s="8"/>
    </row>
    <row r="53" spans="1:14" x14ac:dyDescent="0.2">
      <c r="A53" s="14"/>
      <c r="B53" s="12" t="s">
        <v>42</v>
      </c>
      <c r="H53" s="15">
        <f>-2173.67-2048.701</f>
        <v>-4222.3710000000001</v>
      </c>
      <c r="I53" s="15"/>
      <c r="J53" s="16"/>
      <c r="K53" s="17"/>
      <c r="L53" s="17"/>
      <c r="M53" s="15"/>
      <c r="N53" s="17"/>
    </row>
    <row r="54" spans="1:14" x14ac:dyDescent="0.2">
      <c r="A54" s="14"/>
      <c r="B54" s="12" t="s">
        <v>43</v>
      </c>
      <c r="H54" s="15">
        <v>-1152.4670000000001</v>
      </c>
      <c r="I54" s="15"/>
      <c r="J54" s="16"/>
      <c r="K54" s="17"/>
      <c r="L54" s="17"/>
      <c r="M54" s="15"/>
      <c r="N54" s="17"/>
    </row>
    <row r="55" spans="1:14" x14ac:dyDescent="0.2">
      <c r="A55" s="14"/>
      <c r="B55" s="7" t="s">
        <v>44</v>
      </c>
      <c r="H55" s="15">
        <v>-843.37199999999996</v>
      </c>
      <c r="I55" s="15"/>
      <c r="J55" s="16"/>
      <c r="K55" s="17"/>
      <c r="M55" s="8"/>
    </row>
    <row r="56" spans="1:14" x14ac:dyDescent="0.2">
      <c r="A56" s="14"/>
      <c r="B56" s="7" t="s">
        <v>45</v>
      </c>
      <c r="H56" s="15">
        <v>-680</v>
      </c>
      <c r="I56" s="15"/>
      <c r="J56" s="16"/>
      <c r="K56" s="17"/>
      <c r="M56" s="8"/>
    </row>
    <row r="57" spans="1:14" x14ac:dyDescent="0.2">
      <c r="A57" s="14"/>
      <c r="B57" s="7" t="s">
        <v>46</v>
      </c>
      <c r="H57" s="15">
        <v>-500</v>
      </c>
      <c r="I57" s="15"/>
      <c r="J57" s="16"/>
      <c r="K57" s="17"/>
      <c r="M57" s="8"/>
    </row>
    <row r="58" spans="1:14" x14ac:dyDescent="0.2">
      <c r="A58" s="14"/>
      <c r="B58" s="12" t="s">
        <v>47</v>
      </c>
      <c r="H58" s="15">
        <v>-415.423</v>
      </c>
      <c r="I58" s="15"/>
      <c r="J58" s="16"/>
      <c r="K58" s="17"/>
      <c r="L58" s="17"/>
      <c r="M58" s="15"/>
      <c r="N58" s="17"/>
    </row>
    <row r="59" spans="1:14" x14ac:dyDescent="0.2">
      <c r="A59" s="14"/>
      <c r="B59" s="7" t="s">
        <v>48</v>
      </c>
      <c r="H59" s="15">
        <v>-363</v>
      </c>
      <c r="I59" s="15"/>
      <c r="J59" s="16"/>
      <c r="K59" s="17"/>
      <c r="M59" s="8"/>
    </row>
    <row r="60" spans="1:14" x14ac:dyDescent="0.2">
      <c r="A60" s="14"/>
      <c r="B60" s="7" t="s">
        <v>49</v>
      </c>
      <c r="H60" s="15">
        <v>-29</v>
      </c>
      <c r="I60" s="15">
        <f>SUM(H49:H60)</f>
        <v>-26110.804999999997</v>
      </c>
      <c r="J60" s="9">
        <f>+I60/$I$8%</f>
        <v>-6.4418793128544953</v>
      </c>
      <c r="K60" s="17"/>
      <c r="L60" s="17"/>
      <c r="M60" s="15"/>
      <c r="N60" s="17"/>
    </row>
    <row r="61" spans="1:14" x14ac:dyDescent="0.2">
      <c r="A61" s="14"/>
      <c r="H61" s="21"/>
      <c r="I61" s="8"/>
      <c r="K61" s="17"/>
      <c r="L61" s="15"/>
      <c r="M61" s="15"/>
      <c r="N61" s="17"/>
    </row>
    <row r="62" spans="1:14" x14ac:dyDescent="0.2">
      <c r="A62" s="14"/>
      <c r="B62" s="7" t="s">
        <v>50</v>
      </c>
      <c r="H62" s="8">
        <v>-34</v>
      </c>
      <c r="I62" s="8">
        <f>H62</f>
        <v>-34</v>
      </c>
      <c r="J62" s="9">
        <f>+I62/$I$8%</f>
        <v>-8.3882475717256839E-3</v>
      </c>
      <c r="L62" s="8"/>
      <c r="M62" s="8"/>
    </row>
    <row r="63" spans="1:14" x14ac:dyDescent="0.2">
      <c r="A63" s="14"/>
      <c r="H63" s="8"/>
      <c r="I63" s="8"/>
      <c r="L63" s="8"/>
      <c r="M63" s="8"/>
    </row>
    <row r="64" spans="1:14" x14ac:dyDescent="0.2">
      <c r="A64" s="1"/>
      <c r="B64" s="1" t="s">
        <v>51</v>
      </c>
      <c r="C64" s="1"/>
      <c r="D64" s="1"/>
      <c r="E64" s="1"/>
      <c r="F64" s="1"/>
      <c r="G64" s="1"/>
      <c r="H64" s="11"/>
      <c r="I64" s="11">
        <f>SUM(I15:I62)</f>
        <v>408820.73900000006</v>
      </c>
      <c r="J64" s="9">
        <f>+(I64-I8)/$I$8%</f>
        <v>0.86145797611324615</v>
      </c>
      <c r="L64" s="8"/>
      <c r="M64" s="8"/>
    </row>
    <row r="65" spans="2:13" x14ac:dyDescent="0.2">
      <c r="I65" s="8"/>
    </row>
    <row r="66" spans="2:13" x14ac:dyDescent="0.2">
      <c r="B66" s="7" t="s">
        <v>1</v>
      </c>
      <c r="I66" s="8"/>
    </row>
    <row r="67" spans="2:13" x14ac:dyDescent="0.2">
      <c r="E67" s="23"/>
      <c r="F67" s="24"/>
      <c r="G67" s="24"/>
      <c r="H67" s="24"/>
      <c r="I67" s="24"/>
      <c r="J67" s="24"/>
      <c r="K67" s="24"/>
      <c r="L67" s="25"/>
      <c r="M67" s="26"/>
    </row>
    <row r="68" spans="2:13" x14ac:dyDescent="0.2">
      <c r="B68" s="12" t="s">
        <v>52</v>
      </c>
      <c r="I68" s="8">
        <f>-SUM('Appendix C'!O111)</f>
        <v>-317493</v>
      </c>
      <c r="J68" s="27"/>
    </row>
    <row r="69" spans="2:13" x14ac:dyDescent="0.2">
      <c r="B69" s="12" t="s">
        <v>53</v>
      </c>
      <c r="I69" s="8">
        <f>-SUM('Appendix C'!O112,'Appendix C'!O120)</f>
        <v>-91328.399000000005</v>
      </c>
    </row>
    <row r="71" spans="2:13" s="1" customFormat="1" x14ac:dyDescent="0.2">
      <c r="B71" s="1" t="s">
        <v>54</v>
      </c>
      <c r="I71" s="11">
        <f>SUM(I67:I70)</f>
        <v>-408821.39899999998</v>
      </c>
      <c r="J71" s="28"/>
    </row>
    <row r="74" spans="2:13" x14ac:dyDescent="0.2">
      <c r="I74" s="8"/>
    </row>
  </sheetData>
  <pageMargins left="0.56999999999999995" right="0.3" top="0.44" bottom="0.31" header="0.25" footer="0.17"/>
  <pageSetup paperSize="9" scale="71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V148"/>
  <sheetViews>
    <sheetView tabSelected="1" zoomScale="60" zoomScaleNormal="60" workbookViewId="0">
      <pane xSplit="1" ySplit="11" topLeftCell="B12" activePane="bottomRight" state="frozen"/>
      <selection activeCell="AE44" sqref="AE44"/>
      <selection pane="topRight" activeCell="AE44" sqref="AE44"/>
      <selection pane="bottomLeft" activeCell="AE44" sqref="AE44"/>
      <selection pane="bottomRight" activeCell="A2" sqref="A2"/>
    </sheetView>
  </sheetViews>
  <sheetFormatPr defaultRowHeight="18" x14ac:dyDescent="0.25"/>
  <cols>
    <col min="1" max="1" width="72" style="35" customWidth="1"/>
    <col min="2" max="2" width="21.140625" style="65" customWidth="1"/>
    <col min="3" max="3" width="3.5703125" style="36" customWidth="1"/>
    <col min="4" max="4" width="21.140625" style="65" hidden="1" customWidth="1"/>
    <col min="5" max="5" width="3.7109375" style="65" hidden="1" customWidth="1"/>
    <col min="6" max="6" width="3.42578125" style="36" hidden="1" customWidth="1"/>
    <col min="7" max="7" width="30.28515625" style="65" customWidth="1"/>
    <col min="8" max="8" width="3.5703125" style="65" bestFit="1" customWidth="1"/>
    <col min="9" max="9" width="20.7109375" style="65" customWidth="1"/>
    <col min="10" max="10" width="3.5703125" style="65" bestFit="1" customWidth="1"/>
    <col min="11" max="11" width="23" style="65" customWidth="1"/>
    <col min="12" max="12" width="3.5703125" style="65" customWidth="1"/>
    <col min="13" max="13" width="17.28515625" style="65" bestFit="1" customWidth="1"/>
    <col min="14" max="14" width="3.5703125" style="63" bestFit="1" customWidth="1"/>
    <col min="15" max="15" width="23.7109375" style="65" bestFit="1" customWidth="1"/>
    <col min="16" max="16" width="3.5703125" style="63" bestFit="1" customWidth="1"/>
    <col min="17" max="17" width="21" style="65" customWidth="1"/>
    <col min="18" max="18" width="3.5703125" style="65" bestFit="1" customWidth="1"/>
    <col min="19" max="19" width="16.7109375" style="65" customWidth="1"/>
    <col min="20" max="20" width="3.5703125" style="65" customWidth="1"/>
    <col min="21" max="21" width="16.28515625" style="65" bestFit="1" customWidth="1"/>
    <col min="22" max="22" width="3.5703125" style="65" bestFit="1" customWidth="1"/>
    <col min="23" max="23" width="20.7109375" style="65" customWidth="1"/>
    <col min="24" max="24" width="3.42578125" style="65" customWidth="1"/>
    <col min="25" max="25" width="21.7109375" style="65" bestFit="1" customWidth="1"/>
    <col min="26" max="26" width="2.5703125" style="65" bestFit="1" customWidth="1"/>
    <col min="27" max="27" width="21.28515625" style="65" customWidth="1"/>
    <col min="28" max="28" width="2.5703125" style="65" bestFit="1" customWidth="1"/>
    <col min="29" max="29" width="15.140625" style="65" bestFit="1" customWidth="1"/>
    <col min="30" max="30" width="2.5703125" style="65" bestFit="1" customWidth="1"/>
    <col min="31" max="31" width="20" style="65" bestFit="1" customWidth="1"/>
    <col min="32" max="32" width="5.28515625" style="65" customWidth="1"/>
    <col min="33" max="33" width="21.7109375" style="65" bestFit="1" customWidth="1"/>
    <col min="34" max="34" width="2.5703125" style="65" bestFit="1" customWidth="1"/>
    <col min="35" max="35" width="21" style="65" customWidth="1"/>
    <col min="36" max="36" width="2.5703125" style="65" bestFit="1" customWidth="1"/>
    <col min="37" max="37" width="15.140625" style="65" bestFit="1" customWidth="1"/>
    <col min="38" max="38" width="2.5703125" style="63" bestFit="1" customWidth="1"/>
    <col min="39" max="39" width="23.28515625" style="65" bestFit="1" customWidth="1"/>
    <col min="40" max="40" width="4.42578125" style="65" customWidth="1"/>
    <col min="41" max="41" width="21.7109375" style="65" hidden="1" customWidth="1"/>
    <col min="42" max="42" width="3.140625" style="65" hidden="1" customWidth="1"/>
    <col min="43" max="43" width="18.140625" style="65" hidden="1" customWidth="1"/>
    <col min="44" max="44" width="4.140625" style="65" hidden="1" customWidth="1"/>
    <col min="45" max="45" width="15.140625" style="65" hidden="1" customWidth="1"/>
    <col min="46" max="46" width="4.140625" style="65" hidden="1" customWidth="1"/>
    <col min="47" max="47" width="20" style="65" hidden="1" customWidth="1"/>
    <col min="48" max="48" width="9.140625" style="63"/>
    <col min="49" max="50" width="9.140625" style="34"/>
    <col min="51" max="51" width="29.42578125" style="34" customWidth="1"/>
    <col min="52" max="16384" width="9.140625" style="34"/>
  </cols>
  <sheetData>
    <row r="1" spans="1:48" x14ac:dyDescent="0.25">
      <c r="A1" s="29" t="s">
        <v>147</v>
      </c>
      <c r="B1" s="30"/>
      <c r="C1" s="31"/>
      <c r="D1" s="30"/>
      <c r="E1" s="30"/>
      <c r="F1" s="32"/>
      <c r="G1" s="33"/>
      <c r="H1" s="33"/>
      <c r="I1" s="33"/>
      <c r="J1" s="33"/>
      <c r="K1" s="33"/>
      <c r="L1" s="33"/>
      <c r="M1" s="33"/>
      <c r="N1" s="34"/>
      <c r="O1" s="33"/>
      <c r="P1" s="34"/>
      <c r="Q1" s="33"/>
      <c r="R1" s="33"/>
      <c r="S1" s="33"/>
      <c r="T1" s="33"/>
      <c r="U1" s="33"/>
      <c r="V1" s="33"/>
      <c r="W1" s="33" t="s">
        <v>1</v>
      </c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4"/>
      <c r="AM1" s="33"/>
      <c r="AN1" s="33"/>
      <c r="AO1" s="33"/>
      <c r="AP1" s="33"/>
      <c r="AQ1" s="33"/>
      <c r="AR1" s="33"/>
      <c r="AS1" s="33"/>
      <c r="AT1" s="33"/>
      <c r="AU1" s="33"/>
      <c r="AV1" s="34"/>
    </row>
    <row r="2" spans="1:48" ht="24" customHeight="1" thickBot="1" x14ac:dyDescent="0.3">
      <c r="A2" s="35" t="s">
        <v>1</v>
      </c>
      <c r="B2" s="33"/>
      <c r="D2" s="33"/>
      <c r="E2" s="33"/>
      <c r="G2" s="33"/>
      <c r="H2" s="33"/>
      <c r="I2" s="33"/>
      <c r="J2" s="33"/>
      <c r="K2" s="33"/>
      <c r="L2" s="33"/>
      <c r="M2" s="33"/>
      <c r="N2" s="34"/>
      <c r="O2" s="33"/>
      <c r="P2" s="34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4"/>
      <c r="AM2" s="33"/>
      <c r="AN2" s="33"/>
      <c r="AO2" s="33"/>
      <c r="AP2" s="33"/>
      <c r="AQ2" s="33"/>
      <c r="AR2" s="33"/>
      <c r="AS2" s="33"/>
      <c r="AT2" s="33"/>
      <c r="AU2" s="33"/>
      <c r="AV2" s="34"/>
    </row>
    <row r="3" spans="1:48" ht="78" customHeight="1" thickBot="1" x14ac:dyDescent="0.3">
      <c r="B3" s="37"/>
      <c r="C3" s="37"/>
      <c r="D3" s="37"/>
      <c r="E3" s="37"/>
      <c r="F3" s="38"/>
      <c r="G3" s="37"/>
      <c r="H3" s="37"/>
      <c r="I3" s="37"/>
      <c r="J3" s="37"/>
      <c r="K3" s="37"/>
      <c r="L3" s="37"/>
      <c r="M3" s="37"/>
      <c r="N3" s="39"/>
      <c r="O3" s="37"/>
      <c r="P3" s="39"/>
      <c r="Q3" s="37"/>
      <c r="R3" s="37"/>
      <c r="S3" s="37"/>
      <c r="T3" s="37"/>
      <c r="U3" s="37"/>
      <c r="V3" s="37"/>
      <c r="W3" s="37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1"/>
      <c r="AM3" s="42"/>
      <c r="AN3" s="33"/>
      <c r="AO3" s="33"/>
      <c r="AP3" s="33"/>
      <c r="AQ3" s="33"/>
      <c r="AR3" s="33"/>
      <c r="AS3" s="33"/>
      <c r="AT3" s="33"/>
      <c r="AU3" s="33"/>
      <c r="AV3" s="34"/>
    </row>
    <row r="4" spans="1:48" x14ac:dyDescent="0.25">
      <c r="B4" s="33"/>
      <c r="D4" s="33"/>
      <c r="E4" s="33"/>
      <c r="G4" s="33"/>
      <c r="H4" s="33"/>
      <c r="I4" s="33"/>
      <c r="J4" s="33"/>
      <c r="K4" s="33"/>
      <c r="L4" s="33"/>
      <c r="M4" s="33"/>
      <c r="N4" s="34"/>
      <c r="O4" s="33"/>
      <c r="P4" s="34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4"/>
      <c r="AM4" s="33"/>
      <c r="AN4" s="33"/>
      <c r="AO4" s="33"/>
      <c r="AP4" s="33"/>
      <c r="AQ4" s="33"/>
      <c r="AR4" s="33"/>
      <c r="AS4" s="33"/>
      <c r="AT4" s="33"/>
      <c r="AU4" s="33"/>
      <c r="AV4" s="34"/>
    </row>
    <row r="5" spans="1:48" ht="1.5" customHeight="1" thickBot="1" x14ac:dyDescent="0.3">
      <c r="A5" s="43"/>
      <c r="B5" s="33"/>
      <c r="C5" s="44"/>
      <c r="D5" s="33"/>
      <c r="E5" s="33"/>
      <c r="F5" s="44"/>
      <c r="G5" s="33"/>
      <c r="H5" s="33"/>
      <c r="I5" s="33"/>
      <c r="J5" s="33"/>
      <c r="K5" s="33"/>
      <c r="L5" s="33"/>
      <c r="M5" s="33"/>
      <c r="N5" s="34"/>
      <c r="O5" s="33"/>
      <c r="P5" s="34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4"/>
      <c r="AM5" s="33"/>
      <c r="AN5" s="33"/>
      <c r="AO5" s="33"/>
      <c r="AP5" s="33"/>
      <c r="AQ5" s="33"/>
      <c r="AR5" s="33"/>
      <c r="AS5" s="33"/>
      <c r="AT5" s="33"/>
      <c r="AU5" s="33"/>
      <c r="AV5" s="34"/>
    </row>
    <row r="6" spans="1:48" x14ac:dyDescent="0.25">
      <c r="A6" s="45"/>
      <c r="B6" s="46" t="s">
        <v>55</v>
      </c>
      <c r="C6" s="47"/>
      <c r="D6" s="48" t="s">
        <v>56</v>
      </c>
      <c r="E6" s="49"/>
      <c r="F6" s="47"/>
      <c r="G6" s="46" t="s">
        <v>55</v>
      </c>
      <c r="H6" s="45"/>
      <c r="I6" s="48" t="s">
        <v>56</v>
      </c>
      <c r="J6" s="49"/>
      <c r="K6" s="46" t="s">
        <v>57</v>
      </c>
      <c r="L6" s="49"/>
      <c r="M6" s="48" t="s">
        <v>58</v>
      </c>
      <c r="N6" s="34"/>
      <c r="O6" s="46" t="s">
        <v>59</v>
      </c>
      <c r="P6" s="45"/>
      <c r="Q6" s="48" t="s">
        <v>56</v>
      </c>
      <c r="R6" s="49"/>
      <c r="S6" s="46" t="s">
        <v>57</v>
      </c>
      <c r="T6" s="49"/>
      <c r="U6" s="48" t="s">
        <v>58</v>
      </c>
      <c r="V6" s="33"/>
      <c r="W6" s="46" t="s">
        <v>60</v>
      </c>
      <c r="X6" s="33"/>
      <c r="Y6" s="48" t="s">
        <v>56</v>
      </c>
      <c r="Z6" s="49"/>
      <c r="AA6" s="46" t="s">
        <v>57</v>
      </c>
      <c r="AB6" s="49"/>
      <c r="AC6" s="48" t="s">
        <v>58</v>
      </c>
      <c r="AD6" s="33"/>
      <c r="AE6" s="46" t="s">
        <v>61</v>
      </c>
      <c r="AF6" s="33"/>
      <c r="AG6" s="48" t="s">
        <v>56</v>
      </c>
      <c r="AH6" s="49"/>
      <c r="AI6" s="46" t="s">
        <v>57</v>
      </c>
      <c r="AJ6" s="49"/>
      <c r="AK6" s="48" t="s">
        <v>58</v>
      </c>
      <c r="AL6" s="34"/>
      <c r="AM6" s="46" t="s">
        <v>62</v>
      </c>
      <c r="AN6" s="33"/>
      <c r="AO6" s="48" t="s">
        <v>56</v>
      </c>
      <c r="AP6" s="49"/>
      <c r="AQ6" s="46" t="s">
        <v>57</v>
      </c>
      <c r="AR6" s="49"/>
      <c r="AS6" s="48" t="s">
        <v>58</v>
      </c>
      <c r="AT6" s="33"/>
      <c r="AU6" s="46" t="s">
        <v>63</v>
      </c>
      <c r="AV6" s="34"/>
    </row>
    <row r="7" spans="1:48" x14ac:dyDescent="0.25">
      <c r="A7" s="45"/>
      <c r="B7" s="50" t="s">
        <v>64</v>
      </c>
      <c r="C7" s="47"/>
      <c r="D7" s="50" t="s">
        <v>1</v>
      </c>
      <c r="E7" s="49"/>
      <c r="F7" s="47"/>
      <c r="G7" s="50" t="s">
        <v>65</v>
      </c>
      <c r="H7" s="45"/>
      <c r="I7" s="50" t="s">
        <v>1</v>
      </c>
      <c r="J7" s="49"/>
      <c r="K7" s="50"/>
      <c r="L7" s="49"/>
      <c r="M7" s="50" t="s">
        <v>66</v>
      </c>
      <c r="N7" s="34"/>
      <c r="O7" s="50" t="s">
        <v>67</v>
      </c>
      <c r="P7" s="45"/>
      <c r="Q7" s="50" t="s">
        <v>1</v>
      </c>
      <c r="R7" s="49"/>
      <c r="S7" s="50"/>
      <c r="T7" s="49"/>
      <c r="U7" s="50" t="s">
        <v>66</v>
      </c>
      <c r="V7" s="33"/>
      <c r="W7" s="50" t="s">
        <v>67</v>
      </c>
      <c r="X7" s="33"/>
      <c r="Y7" s="50" t="s">
        <v>1</v>
      </c>
      <c r="Z7" s="49"/>
      <c r="AA7" s="50"/>
      <c r="AB7" s="49"/>
      <c r="AC7" s="50" t="s">
        <v>66</v>
      </c>
      <c r="AD7" s="33"/>
      <c r="AE7" s="50" t="s">
        <v>67</v>
      </c>
      <c r="AF7" s="33"/>
      <c r="AG7" s="50" t="s">
        <v>1</v>
      </c>
      <c r="AH7" s="49"/>
      <c r="AI7" s="50"/>
      <c r="AJ7" s="49"/>
      <c r="AK7" s="50" t="s">
        <v>66</v>
      </c>
      <c r="AL7" s="34"/>
      <c r="AM7" s="50" t="s">
        <v>67</v>
      </c>
      <c r="AN7" s="33"/>
      <c r="AO7" s="50" t="s">
        <v>1</v>
      </c>
      <c r="AP7" s="49"/>
      <c r="AQ7" s="50"/>
      <c r="AR7" s="49"/>
      <c r="AS7" s="50" t="s">
        <v>66</v>
      </c>
      <c r="AT7" s="33"/>
      <c r="AU7" s="50" t="s">
        <v>67</v>
      </c>
      <c r="AV7" s="34"/>
    </row>
    <row r="8" spans="1:48" x14ac:dyDescent="0.25">
      <c r="A8" s="45"/>
      <c r="B8" s="50" t="s">
        <v>68</v>
      </c>
      <c r="C8" s="47"/>
      <c r="D8" s="50"/>
      <c r="E8" s="49"/>
      <c r="F8" s="47"/>
      <c r="G8" s="50" t="s">
        <v>69</v>
      </c>
      <c r="H8" s="45"/>
      <c r="I8" s="50"/>
      <c r="J8" s="49"/>
      <c r="K8" s="50"/>
      <c r="L8" s="49"/>
      <c r="M8" s="50"/>
      <c r="N8" s="34"/>
      <c r="O8" s="50" t="s">
        <v>70</v>
      </c>
      <c r="P8" s="45"/>
      <c r="Q8" s="50"/>
      <c r="R8" s="49"/>
      <c r="S8" s="50"/>
      <c r="T8" s="49"/>
      <c r="U8" s="50"/>
      <c r="V8" s="33"/>
      <c r="W8" s="50" t="s">
        <v>70</v>
      </c>
      <c r="X8" s="33"/>
      <c r="Y8" s="50"/>
      <c r="Z8" s="49"/>
      <c r="AA8" s="50"/>
      <c r="AB8" s="49"/>
      <c r="AC8" s="50"/>
      <c r="AD8" s="33"/>
      <c r="AE8" s="50" t="s">
        <v>70</v>
      </c>
      <c r="AF8" s="33"/>
      <c r="AG8" s="50"/>
      <c r="AH8" s="49"/>
      <c r="AI8" s="50"/>
      <c r="AJ8" s="49"/>
      <c r="AK8" s="50"/>
      <c r="AL8" s="34"/>
      <c r="AM8" s="50" t="s">
        <v>70</v>
      </c>
      <c r="AN8" s="33"/>
      <c r="AO8" s="50"/>
      <c r="AP8" s="49"/>
      <c r="AQ8" s="50"/>
      <c r="AR8" s="49"/>
      <c r="AS8" s="50"/>
      <c r="AT8" s="33"/>
      <c r="AU8" s="50" t="s">
        <v>70</v>
      </c>
      <c r="AV8" s="34"/>
    </row>
    <row r="9" spans="1:48" ht="20.25" customHeight="1" thickBot="1" x14ac:dyDescent="0.3">
      <c r="A9" s="51"/>
      <c r="B9" s="52" t="s">
        <v>2</v>
      </c>
      <c r="D9" s="52" t="s">
        <v>2</v>
      </c>
      <c r="E9" s="49"/>
      <c r="G9" s="52" t="s">
        <v>2</v>
      </c>
      <c r="H9" s="45"/>
      <c r="I9" s="52" t="s">
        <v>2</v>
      </c>
      <c r="J9" s="49"/>
      <c r="K9" s="52" t="s">
        <v>2</v>
      </c>
      <c r="L9" s="49"/>
      <c r="M9" s="52" t="s">
        <v>2</v>
      </c>
      <c r="N9" s="34"/>
      <c r="O9" s="53" t="s">
        <v>2</v>
      </c>
      <c r="P9" s="51"/>
      <c r="Q9" s="52" t="s">
        <v>2</v>
      </c>
      <c r="R9" s="49"/>
      <c r="S9" s="52" t="s">
        <v>2</v>
      </c>
      <c r="T9" s="49"/>
      <c r="U9" s="52" t="s">
        <v>2</v>
      </c>
      <c r="V9" s="33"/>
      <c r="W9" s="53" t="s">
        <v>2</v>
      </c>
      <c r="X9" s="33"/>
      <c r="Y9" s="52" t="s">
        <v>2</v>
      </c>
      <c r="Z9" s="49"/>
      <c r="AA9" s="52" t="s">
        <v>2</v>
      </c>
      <c r="AB9" s="49"/>
      <c r="AC9" s="52" t="s">
        <v>2</v>
      </c>
      <c r="AD9" s="33"/>
      <c r="AE9" s="53" t="s">
        <v>2</v>
      </c>
      <c r="AF9" s="33"/>
      <c r="AG9" s="52" t="s">
        <v>2</v>
      </c>
      <c r="AH9" s="49"/>
      <c r="AI9" s="52" t="s">
        <v>2</v>
      </c>
      <c r="AJ9" s="49"/>
      <c r="AK9" s="52" t="s">
        <v>2</v>
      </c>
      <c r="AL9" s="34"/>
      <c r="AM9" s="53" t="s">
        <v>2</v>
      </c>
      <c r="AN9" s="33"/>
      <c r="AO9" s="52" t="s">
        <v>2</v>
      </c>
      <c r="AP9" s="49"/>
      <c r="AQ9" s="52" t="s">
        <v>2</v>
      </c>
      <c r="AR9" s="49"/>
      <c r="AS9" s="52" t="s">
        <v>2</v>
      </c>
      <c r="AT9" s="33"/>
      <c r="AU9" s="53" t="s">
        <v>2</v>
      </c>
      <c r="AV9" s="34"/>
    </row>
    <row r="10" spans="1:48" ht="24.75" customHeight="1" thickBot="1" x14ac:dyDescent="0.3">
      <c r="B10" s="54"/>
      <c r="D10" s="54"/>
      <c r="E10" s="54"/>
      <c r="G10" s="54"/>
      <c r="H10" s="55"/>
      <c r="I10" s="55"/>
      <c r="J10" s="55"/>
      <c r="K10" s="54"/>
      <c r="L10" s="55"/>
      <c r="M10" s="33"/>
      <c r="N10" s="34"/>
      <c r="O10" s="54"/>
      <c r="P10" s="35"/>
      <c r="Q10" s="55"/>
      <c r="R10" s="55"/>
      <c r="S10" s="54"/>
      <c r="T10" s="55"/>
      <c r="U10" s="33"/>
      <c r="V10" s="33"/>
      <c r="W10" s="54"/>
      <c r="X10" s="33"/>
      <c r="Y10" s="55"/>
      <c r="Z10" s="55"/>
      <c r="AA10" s="54"/>
      <c r="AB10" s="55"/>
      <c r="AC10" s="33"/>
      <c r="AD10" s="33"/>
      <c r="AE10" s="54"/>
      <c r="AF10" s="33"/>
      <c r="AG10" s="55"/>
      <c r="AH10" s="55"/>
      <c r="AI10" s="54"/>
      <c r="AJ10" s="55"/>
      <c r="AK10" s="33"/>
      <c r="AL10" s="34"/>
      <c r="AM10" s="54"/>
      <c r="AN10" s="33"/>
      <c r="AO10" s="55"/>
      <c r="AP10" s="55"/>
      <c r="AQ10" s="54"/>
      <c r="AR10" s="55"/>
      <c r="AS10" s="33"/>
      <c r="AT10" s="33"/>
      <c r="AU10" s="54"/>
      <c r="AV10" s="34"/>
    </row>
    <row r="11" spans="1:48" ht="18.75" thickBot="1" x14ac:dyDescent="0.3">
      <c r="A11" s="56" t="s">
        <v>71</v>
      </c>
      <c r="B11" s="57"/>
      <c r="C11" s="58"/>
      <c r="D11" s="57"/>
      <c r="E11" s="57"/>
      <c r="F11" s="59"/>
      <c r="G11" s="60"/>
      <c r="H11" s="61"/>
      <c r="I11" s="62"/>
      <c r="J11" s="61"/>
      <c r="K11" s="60"/>
      <c r="L11" s="61"/>
      <c r="M11" s="62"/>
      <c r="O11" s="60"/>
      <c r="P11" s="64"/>
      <c r="Q11" s="62"/>
      <c r="R11" s="61"/>
      <c r="S11" s="60" t="s">
        <v>1</v>
      </c>
      <c r="T11" s="61"/>
      <c r="U11" s="62"/>
      <c r="W11" s="60"/>
      <c r="Y11" s="62"/>
      <c r="Z11" s="61"/>
      <c r="AA11" s="60" t="s">
        <v>1</v>
      </c>
      <c r="AB11" s="61"/>
      <c r="AC11" s="62"/>
      <c r="AE11" s="60"/>
      <c r="AG11" s="62"/>
      <c r="AH11" s="61"/>
      <c r="AI11" s="60" t="s">
        <v>1</v>
      </c>
      <c r="AJ11" s="61"/>
      <c r="AK11" s="62"/>
      <c r="AM11" s="60"/>
      <c r="AO11" s="62"/>
      <c r="AP11" s="61"/>
      <c r="AQ11" s="60" t="s">
        <v>1</v>
      </c>
      <c r="AR11" s="61"/>
      <c r="AS11" s="62"/>
      <c r="AU11" s="60"/>
    </row>
    <row r="12" spans="1:48" x14ac:dyDescent="0.25">
      <c r="A12" s="66"/>
      <c r="B12" s="67"/>
      <c r="C12" s="68"/>
      <c r="D12" s="67"/>
      <c r="E12" s="69"/>
      <c r="F12" s="68"/>
      <c r="G12" s="70"/>
      <c r="H12" s="61"/>
      <c r="I12" s="71"/>
      <c r="J12" s="61"/>
      <c r="K12" s="70"/>
      <c r="L12" s="61"/>
      <c r="M12" s="71"/>
      <c r="O12" s="70"/>
      <c r="P12" s="64"/>
      <c r="Q12" s="71"/>
      <c r="R12" s="61"/>
      <c r="S12" s="70"/>
      <c r="T12" s="61"/>
      <c r="U12" s="71"/>
      <c r="W12" s="70"/>
      <c r="Y12" s="71"/>
      <c r="Z12" s="61"/>
      <c r="AA12" s="70"/>
      <c r="AB12" s="61"/>
      <c r="AC12" s="71"/>
      <c r="AE12" s="70"/>
      <c r="AG12" s="71"/>
      <c r="AH12" s="61"/>
      <c r="AI12" s="70"/>
      <c r="AJ12" s="61"/>
      <c r="AK12" s="71"/>
      <c r="AM12" s="70"/>
      <c r="AO12" s="71"/>
      <c r="AP12" s="61"/>
      <c r="AQ12" s="70"/>
      <c r="AR12" s="61"/>
      <c r="AS12" s="71"/>
      <c r="AU12" s="70"/>
    </row>
    <row r="13" spans="1:48" x14ac:dyDescent="0.25">
      <c r="A13" s="72" t="s">
        <v>72</v>
      </c>
      <c r="B13" s="73"/>
      <c r="C13" s="74"/>
      <c r="D13" s="73"/>
      <c r="E13" s="69"/>
      <c r="F13" s="74"/>
      <c r="G13" s="75"/>
      <c r="H13" s="61"/>
      <c r="I13" s="76"/>
      <c r="J13" s="61"/>
      <c r="K13" s="75"/>
      <c r="L13" s="61"/>
      <c r="M13" s="76"/>
      <c r="O13" s="75"/>
      <c r="P13" s="64"/>
      <c r="Q13" s="76"/>
      <c r="R13" s="61"/>
      <c r="S13" s="75"/>
      <c r="T13" s="61"/>
      <c r="U13" s="76"/>
      <c r="W13" s="75"/>
      <c r="Y13" s="76"/>
      <c r="Z13" s="61"/>
      <c r="AA13" s="75"/>
      <c r="AB13" s="61"/>
      <c r="AC13" s="76"/>
      <c r="AE13" s="75"/>
      <c r="AG13" s="76"/>
      <c r="AH13" s="61"/>
      <c r="AI13" s="75"/>
      <c r="AJ13" s="61"/>
      <c r="AK13" s="76"/>
      <c r="AM13" s="75"/>
      <c r="AO13" s="76"/>
      <c r="AP13" s="61"/>
      <c r="AQ13" s="75"/>
      <c r="AR13" s="61"/>
      <c r="AS13" s="76"/>
      <c r="AU13" s="75"/>
    </row>
    <row r="14" spans="1:48" x14ac:dyDescent="0.25">
      <c r="A14" s="77" t="s">
        <v>73</v>
      </c>
      <c r="B14" s="78">
        <v>234418000</v>
      </c>
      <c r="C14" s="78"/>
      <c r="D14" s="78">
        <v>2819256.7700000107</v>
      </c>
      <c r="E14" s="79"/>
      <c r="F14" s="80"/>
      <c r="G14" s="81">
        <f>('[3]DEVOLVED AND DEL INC TRAIN'!AA7+'[3]DEVOLVED AND DEL INC TRAIN'!AA8+[3]REGION!L7+[3]REGION!L8+[3]CTU!L7+[3]CTU!L8)/1000</f>
        <v>237237.25677000001</v>
      </c>
      <c r="H14" s="82"/>
      <c r="I14" s="83">
        <f>SUM('[3]DEVOLVED AND DEL INC TRAIN:OPCC'!O7:P7)/1000+SUM('[3]DEVOLVED AND DEL INC TRAIN:OPCC'!G7:K7)/1000</f>
        <v>9697.7180000000008</v>
      </c>
      <c r="J14" s="84"/>
      <c r="K14" s="83">
        <f>SUM('[3]DEVOLVED AND DEL INC TRAIN:OPCC'!R7:U7)/1000</f>
        <v>-13872.2012</v>
      </c>
      <c r="L14" s="84"/>
      <c r="M14" s="83">
        <f>SUM('[3]DEVOLVED AND DEL INC TRAIN:OPCC'!N7:N7)/1000+SUM('[3]DEVOLVED AND DEL INC TRAIN:OPCC'!W7:W7)/1000</f>
        <v>2381.1796285929167</v>
      </c>
      <c r="O14" s="76">
        <f>SUM(G14:M14)</f>
        <v>235443.95319859291</v>
      </c>
      <c r="Q14" s="83">
        <f>SUMIF([3]Adjustments!B$1:B$65536,A14,[3]Adjustments!E$1:E$65536)</f>
        <v>16381.945458333334</v>
      </c>
      <c r="R14" s="84"/>
      <c r="S14" s="85">
        <f>SUMIF([3]Savings!B$1:B$65536,A14,[3]Savings!E$1:E$65536)</f>
        <v>-13317.281999999999</v>
      </c>
      <c r="T14" s="84"/>
      <c r="U14" s="81">
        <f>SUM(O14:S14)*1%</f>
        <v>2385.0861665692623</v>
      </c>
      <c r="W14" s="76">
        <f>SUM(O14:U14)</f>
        <v>240893.70282349549</v>
      </c>
      <c r="Y14" s="85">
        <f>SUMIF([3]Adjustments!B$1:B$65536,A14,[3]Adjustments!F$1:F$65536)</f>
        <v>17905.404137500002</v>
      </c>
      <c r="Z14" s="84"/>
      <c r="AA14" s="85">
        <f>SUMIF([3]Savings!B$1:B$65536,A14,[3]Savings!F$1:F$65536)</f>
        <v>-14218.853400000002</v>
      </c>
      <c r="AB14" s="84"/>
      <c r="AC14" s="81">
        <f>SUM(W14:AA14)*1%</f>
        <v>2445.8025356099552</v>
      </c>
      <c r="AE14" s="76">
        <f>SUM(W14:AC14)</f>
        <v>247026.05609660546</v>
      </c>
      <c r="AG14" s="85">
        <f>SUMIF([3]Adjustments!B$1:B$65536,A14,[3]Adjustments!G$1:G$65536)</f>
        <v>13512.114819024999</v>
      </c>
      <c r="AH14" s="84"/>
      <c r="AI14" s="85">
        <f>SUMIF([3]Savings!B$1:B$65536,A14,[3]Savings!G$1:G$65536)</f>
        <v>-14091.885822000002</v>
      </c>
      <c r="AJ14" s="84"/>
      <c r="AK14" s="81">
        <f>SUM(AE14:AI14)*1%</f>
        <v>2464.4628509363047</v>
      </c>
      <c r="AM14" s="76">
        <f>SUM(AE14:AK14)</f>
        <v>248910.74794456677</v>
      </c>
      <c r="AO14" s="85">
        <f>SUMIF([3]Adjustments!B$1:B$65536,A14,[3]Adjustments!H$1:H$65536)</f>
        <v>0</v>
      </c>
      <c r="AP14" s="84"/>
      <c r="AQ14" s="85">
        <f>SUMIF([3]Savings!B$1:B$65536,A14,[3]Savings!H$1:H$65536)</f>
        <v>0</v>
      </c>
      <c r="AR14" s="84"/>
      <c r="AS14" s="76"/>
      <c r="AU14" s="76">
        <f>SUM(AM14:AS14)</f>
        <v>248910.74794456677</v>
      </c>
    </row>
    <row r="15" spans="1:48" x14ac:dyDescent="0.25">
      <c r="A15" s="77" t="s">
        <v>74</v>
      </c>
      <c r="B15" s="78">
        <v>3243000</v>
      </c>
      <c r="C15" s="78"/>
      <c r="D15" s="78">
        <v>-3070978</v>
      </c>
      <c r="E15" s="79"/>
      <c r="F15" s="80"/>
      <c r="G15" s="81">
        <f>('[3]DEVOLVED AND DEL INC TRAIN'!AA5+'[3]DEVOLVED AND DEL INC TRAIN'!AA6+[3]REGION!L5+[3]REGION!L6+[3]CTU!L5+[3]CTU!L6)/1000</f>
        <v>172.02199999999999</v>
      </c>
      <c r="H15" s="82"/>
      <c r="I15" s="83">
        <f>SUM('[3]DEVOLVED AND DEL INC TRAIN:OPCC'!O9:P9)/1000-SUM('[3]DEVOLVED AND DEL INC TRAIN:OPCC'!O7:P7)/1000+SUM('[3]DEVOLVED AND DEL INC TRAIN:OPCC'!G9:K9)/1000-SUM('[3]DEVOLVED AND DEL INC TRAIN:OPCC'!G7:K7)/1000</f>
        <v>-4.9057300000000623</v>
      </c>
      <c r="J15" s="84"/>
      <c r="K15" s="83">
        <f>SUM('[3]DEVOLVED AND DEL INC TRAIN:OPCC'!R9:U9)/1000-SUM('[3]DEVOLVED AND DEL INC TRAIN:OPCC'!R7:U7)/1000</f>
        <v>0</v>
      </c>
      <c r="L15" s="84"/>
      <c r="M15" s="83">
        <f>SUM('[3]DEVOLVED AND DEL INC TRAIN:OPCC'!N9:N9)/1000-SUM('[3]DEVOLVED AND DEL INC TRAIN:OPCC'!N7:N7)/1000+SUM('[3]DEVOLVED AND DEL INC TRAIN:OPCC'!W9:W9)/1000-SUM('[3]DEVOLVED AND DEL INC TRAIN:OPCC'!W7:W7)/1000</f>
        <v>0</v>
      </c>
      <c r="O15" s="76">
        <f>SUM(G15:M15)</f>
        <v>167.11626999999993</v>
      </c>
      <c r="Q15" s="83">
        <f>SUMIF([3]Adjustments!B$1:B$65536,A15,[3]Adjustments!E$1:E$65536)</f>
        <v>0</v>
      </c>
      <c r="R15" s="84"/>
      <c r="S15" s="85">
        <f>SUMIF([3]Savings!B$1:B$65536,A15,[3]Savings!E$1:E$65536)</f>
        <v>0</v>
      </c>
      <c r="T15" s="84"/>
      <c r="U15" s="81">
        <f>SUM(O15:S15)*1%</f>
        <v>1.6711626999999993</v>
      </c>
      <c r="W15" s="76">
        <f>SUM(O15:U15)</f>
        <v>168.78743269999993</v>
      </c>
      <c r="Y15" s="85">
        <f>SUMIF([3]Adjustments!B$1:B$65536,A15,[3]Adjustments!F$1:F$65536)</f>
        <v>0</v>
      </c>
      <c r="Z15" s="84"/>
      <c r="AA15" s="85">
        <f>SUMIF([3]Savings!B$1:B$65536,A15,[3]Savings!F$1:F$65536)</f>
        <v>0</v>
      </c>
      <c r="AB15" s="84"/>
      <c r="AC15" s="81">
        <f>SUM(W15:AA15)*1%</f>
        <v>1.6878743269999994</v>
      </c>
      <c r="AE15" s="76">
        <f>SUM(W15:AC15)</f>
        <v>170.47530702699993</v>
      </c>
      <c r="AG15" s="85">
        <f>SUMIF([3]Adjustments!B$1:B$65536,A15,[3]Adjustments!G$1:G$65536)</f>
        <v>0</v>
      </c>
      <c r="AH15" s="84"/>
      <c r="AI15" s="85">
        <f>SUMIF([3]Savings!B$1:B$65536,A15,[3]Savings!G$1:G$65536)</f>
        <v>0</v>
      </c>
      <c r="AJ15" s="84"/>
      <c r="AK15" s="81">
        <f>SUM(AE15:AI15)*1%</f>
        <v>1.7047530702699993</v>
      </c>
      <c r="AM15" s="76">
        <f>SUM(AE15:AK15)</f>
        <v>172.18006009726992</v>
      </c>
      <c r="AO15" s="85">
        <f>SUMIF([3]Adjustments!B$1:B$65536,A15,[3]Adjustments!H$1:H$65536)</f>
        <v>0</v>
      </c>
      <c r="AP15" s="84"/>
      <c r="AQ15" s="85">
        <f>SUMIF([3]Savings!B$1:B$65536,A15,[3]Savings!H$1:H$65536)</f>
        <v>0</v>
      </c>
      <c r="AR15" s="84"/>
      <c r="AS15" s="76"/>
      <c r="AU15" s="76">
        <f>SUM(AM15:AS15)</f>
        <v>172.18006009726992</v>
      </c>
    </row>
    <row r="16" spans="1:48" x14ac:dyDescent="0.25">
      <c r="A16" s="77" t="s">
        <v>75</v>
      </c>
      <c r="B16" s="78">
        <v>94407000</v>
      </c>
      <c r="C16" s="78"/>
      <c r="D16" s="78">
        <v>10966115.899999991</v>
      </c>
      <c r="E16" s="79"/>
      <c r="F16" s="80"/>
      <c r="G16" s="81">
        <f>('[3]DEVOLVED AND DEL INC TRAIN'!AA29+'[3]DEVOLVED AND DEL INC TRAIN'!AA32+'[3]DEVOLVED AND DEL INC TRAIN'!AA18+[3]REGION!L18+[3]CTU!L18+'[3]DEVOLVED AND DEL INC TRAIN'!AA33+'[3]DEVOLVED AND DEL INC TRAIN'!AA34+'[3]DEVOLVED AND DEL INC TRAIN'!AA36+'[3]DEVOLVED AND DEL INC TRAIN'!AA37+[3]REGION!L29+[3]REGION!L32+[3]REGION!L33+[3]REGION!L34+[3]REGION!L36+[3]REGION!L37+[3]CTU!L29+[3]CTU!L32+[3]CTU!L33+[3]CTU!L34+[3]CTU!L36+[3]CTU!L37)/1000</f>
        <v>105373.11589999999</v>
      </c>
      <c r="H16" s="82"/>
      <c r="I16" s="83">
        <f>SUM('[3]DEVOLVED AND DEL INC TRAIN:CTU'!O29:P29)/1000+SUM('[3]DEVOLVED AND DEL INC TRAIN:CTU'!G29:K29)/1000</f>
        <v>5998.5014800000008</v>
      </c>
      <c r="J16" s="84"/>
      <c r="K16" s="83">
        <f>SUM('[3]DEVOLVED AND DEL INC TRAIN:OPCC'!R29:U29)/1000</f>
        <v>3242.7910000000002</v>
      </c>
      <c r="L16" s="84"/>
      <c r="M16" s="83">
        <f>SUM('[3]DEVOLVED AND DEL INC TRAIN:OPCC'!N29:N29)/1000+SUM('[3]DEVOLVED AND DEL INC TRAIN:OPCC'!W29:W29)/1000</f>
        <v>710.08272253333337</v>
      </c>
      <c r="O16" s="76">
        <f>SUM(G16:M16)</f>
        <v>115324.49110253333</v>
      </c>
      <c r="Q16" s="83">
        <f>SUMIF([3]Adjustments!B$1:B$65536,A16,[3]Adjustments!E$1:E$65536)</f>
        <v>2117.8360000000002</v>
      </c>
      <c r="R16" s="84"/>
      <c r="S16" s="85">
        <f>SUMIF([3]Savings!B$1:B$65536,A16,[3]Savings!E$1:E$65536)</f>
        <v>795.72500000000002</v>
      </c>
      <c r="T16" s="84"/>
      <c r="U16" s="81">
        <f>SUM(O16:S16)*1%</f>
        <v>1182.3805210253333</v>
      </c>
      <c r="W16" s="76">
        <f>SUM(O16:U16)</f>
        <v>119420.43262355866</v>
      </c>
      <c r="Y16" s="85">
        <f>SUMIF([3]Adjustments!B$1:B$65536,A16,[3]Adjustments!F$1:F$65536)</f>
        <v>800</v>
      </c>
      <c r="Z16" s="84"/>
      <c r="AA16" s="85">
        <f>SUMIF([3]Savings!B$1:B$65536,A16,[3]Savings!F$1:F$65536)</f>
        <v>1523.8375000000001</v>
      </c>
      <c r="AB16" s="84"/>
      <c r="AC16" s="81">
        <f>SUM(W16:AA16)*1%</f>
        <v>1217.4427012355866</v>
      </c>
      <c r="AE16" s="76">
        <f>SUM(W16:AC16)</f>
        <v>122961.71282479425</v>
      </c>
      <c r="AG16" s="85">
        <f>SUMIF([3]Adjustments!B$1:B$65536,A16,[3]Adjustments!G$1:G$65536)</f>
        <v>800</v>
      </c>
      <c r="AH16" s="84"/>
      <c r="AI16" s="85">
        <f>SUMIF([3]Savings!B$1:B$65536,A16,[3]Savings!G$1:G$65536)</f>
        <v>6.3125</v>
      </c>
      <c r="AJ16" s="84"/>
      <c r="AK16" s="81">
        <f>SUM(AE16:AI16)*1%</f>
        <v>1237.6802532479426</v>
      </c>
      <c r="AM16" s="76">
        <f>SUM(AE16:AK16)</f>
        <v>125005.70557804219</v>
      </c>
      <c r="AO16" s="85">
        <f>SUMIF([3]Adjustments!B$1:B$65536,A16,[3]Adjustments!H$1:H$65536)</f>
        <v>0</v>
      </c>
      <c r="AP16" s="84"/>
      <c r="AQ16" s="85">
        <f>SUMIF([3]Savings!B$1:B$65536,A16,[3]Savings!H$1:H$65536)</f>
        <v>0</v>
      </c>
      <c r="AR16" s="84"/>
      <c r="AS16" s="76"/>
      <c r="AU16" s="76">
        <f>SUM(AM16:AS16)</f>
        <v>125005.70557804219</v>
      </c>
    </row>
    <row r="17" spans="1:47" x14ac:dyDescent="0.25">
      <c r="A17" s="77" t="s">
        <v>76</v>
      </c>
      <c r="B17" s="78">
        <v>6915000</v>
      </c>
      <c r="C17" s="78"/>
      <c r="D17" s="78">
        <v>823464.01000000071</v>
      </c>
      <c r="E17" s="79"/>
      <c r="F17" s="80"/>
      <c r="G17" s="81">
        <f>('[3]DEVOLVED AND DEL INC TRAIN'!AA12+[3]REGION!L12+[3]CTU!L12+'[3]DEVOLVED AND DEL INC TRAIN'!AA15+[3]REGION!L15+[3]CTU!L15)/1000</f>
        <v>7738.4640100000006</v>
      </c>
      <c r="H17" s="82"/>
      <c r="I17" s="83">
        <f>SUM('[3]DEVOLVED AND DEL INC TRAIN:OPCC'!O12:P12)/1000+SUM('[3]DEVOLVED AND DEL INC TRAIN:OPCC'!O15:P15)/1000+SUM('[3]DEVOLVED AND DEL INC TRAIN:OPCC'!G12:K12)/1000+SUM('[3]DEVOLVED AND DEL INC TRAIN:OPCC'!G15:K15)/1000</f>
        <v>34.605789999999999</v>
      </c>
      <c r="J17" s="84"/>
      <c r="K17" s="83">
        <f>SUM('[3]DEVOLVED AND DEL INC TRAIN:OPCC'!R12:U12)/1000+SUM('[3]DEVOLVED AND DEL INC TRAIN:OPCC'!R15:U15)/1000</f>
        <v>-1152.4670000000001</v>
      </c>
      <c r="L17" s="84"/>
      <c r="M17" s="83">
        <f>SUM('[3]DEVOLVED AND DEL INC TRAIN:OPCC'!N12:N12)/1000+SUM('[3]DEVOLVED AND DEL INC TRAIN:OPCC'!W12:W12)/1000+SUM('[3]DEVOLVED AND DEL INC TRAIN:OPCC'!N15:N15)/1000+SUM('[3]DEVOLVED AND DEL INC TRAIN:OPCC'!W15:W15)/1000</f>
        <v>71.163682966770864</v>
      </c>
      <c r="O17" s="76">
        <f>SUM(G17:M17)</f>
        <v>6691.766482966771</v>
      </c>
      <c r="Q17" s="83">
        <f>SUMIF([3]Adjustments!B$1:B$65536,A17,[3]Adjustments!E$1:E$65536)</f>
        <v>1200</v>
      </c>
      <c r="R17" s="84"/>
      <c r="S17" s="85">
        <f>SUMIF([3]Savings!B$1:B$65536,A17,[3]Savings!E$1:E$65536)</f>
        <v>0</v>
      </c>
      <c r="T17" s="84"/>
      <c r="U17" s="81">
        <f>SUM(O17:S17)*1%</f>
        <v>78.917664829667714</v>
      </c>
      <c r="W17" s="76">
        <f>SUM(O17:U17)</f>
        <v>7970.684147796439</v>
      </c>
      <c r="Y17" s="85">
        <f>SUMIF([3]Adjustments!B$1:B$65536,A17,[3]Adjustments!F$1:F$65536)</f>
        <v>-800</v>
      </c>
      <c r="Z17" s="84"/>
      <c r="AA17" s="85">
        <f>SUMIF([3]Savings!B$1:B$65536,A17,[3]Savings!F$1:F$65536)</f>
        <v>0</v>
      </c>
      <c r="AB17" s="84"/>
      <c r="AC17" s="81">
        <f>SUM(W17:AA17)*1%</f>
        <v>71.706841477964389</v>
      </c>
      <c r="AE17" s="76">
        <f>SUM(W17:AC17)</f>
        <v>7242.3909892744032</v>
      </c>
      <c r="AG17" s="85">
        <f>SUMIF([3]Adjustments!B$1:B$65536,A17,[3]Adjustments!G$1:G$65536)</f>
        <v>-800</v>
      </c>
      <c r="AH17" s="84"/>
      <c r="AI17" s="85">
        <f>SUMIF([3]Savings!B$1:B$65536,A17,[3]Savings!G$1:G$65536)</f>
        <v>0</v>
      </c>
      <c r="AJ17" s="84"/>
      <c r="AK17" s="81">
        <f>SUM(AE17:AI17)*1%</f>
        <v>64.423909892744035</v>
      </c>
      <c r="AM17" s="76">
        <f>SUM(AE17:AK17)</f>
        <v>6506.8148991671469</v>
      </c>
      <c r="AO17" s="85">
        <f>SUMIF([3]Adjustments!B$1:B$65536,A17,[3]Adjustments!H$1:H$65536)</f>
        <v>0</v>
      </c>
      <c r="AP17" s="84"/>
      <c r="AQ17" s="85">
        <f>SUMIF([3]Savings!B$1:B$65536,A17,[3]Savings!H$1:H$65536)</f>
        <v>0</v>
      </c>
      <c r="AR17" s="84"/>
      <c r="AS17" s="76"/>
      <c r="AU17" s="76">
        <f>SUM(AM17:AS17)</f>
        <v>6506.8148991671469</v>
      </c>
    </row>
    <row r="18" spans="1:47" x14ac:dyDescent="0.25">
      <c r="A18" s="77" t="s">
        <v>77</v>
      </c>
      <c r="B18" s="78">
        <v>1316000</v>
      </c>
      <c r="C18" s="78"/>
      <c r="D18" s="78">
        <v>307959</v>
      </c>
      <c r="E18" s="79"/>
      <c r="F18" s="80"/>
      <c r="G18" s="81">
        <f>('[3]DEVOLVED AND DEL INC TRAIN'!AA30+'[3]DEVOLVED AND DEL INC TRAIN'!AA31+[3]REGION!L30+[3]REGION!L31+[3]CTU!L30+[3]CTU!L31)/1000</f>
        <v>1623.9590000000001</v>
      </c>
      <c r="H18" s="82"/>
      <c r="I18" s="83">
        <f>SUM('[3]DEVOLVED AND DEL INC TRAIN:OPCC'!O38:P38)/1000-SUM('[3]DEVOLVED AND DEL INC TRAIN:OPCC'!O35:P35)/1000+SUM('[3]DEVOLVED AND DEL INC TRAIN:OPCC'!G38:K38)/1000-SUM('[3]DEVOLVED AND DEL INC TRAIN:OPCC'!G35:K35)/1000</f>
        <v>183.352</v>
      </c>
      <c r="J18" s="84"/>
      <c r="K18" s="83">
        <f>SUM('[3]DEVOLVED AND DEL INC TRAIN:OPCC'!R38:U38)/1000-SUM('[3]DEVOLVED AND DEL INC TRAIN:OPCC'!R35:U35)/1000</f>
        <v>15.331</v>
      </c>
      <c r="L18" s="84"/>
      <c r="M18" s="83">
        <f>SUM('[3]DEVOLVED AND DEL INC TRAIN:OPCC'!N38:N38)/1000-SUM('[3]DEVOLVED AND DEL INC TRAIN:OPCC'!N35:N35)/1000+SUM('[3]DEVOLVED AND DEL INC TRAIN:OPCC'!W38:W38)/1000-SUM('[3]DEVOLVED AND DEL INC TRAIN:OPCC'!W35:W35)/1000</f>
        <v>9.6640658333333338</v>
      </c>
      <c r="O18" s="76">
        <f>SUM(G18:M18)</f>
        <v>1832.3060658333334</v>
      </c>
      <c r="Q18" s="83">
        <f>SUMIF([3]Adjustments!B$1:B$65536,A18,[3]Adjustments!E$1:E$65536)</f>
        <v>-20</v>
      </c>
      <c r="R18" s="84"/>
      <c r="S18" s="85">
        <f>SUMIF([3]Savings!B$1:B$65536,A18,[3]Savings!E$1:E$65536)</f>
        <v>0</v>
      </c>
      <c r="T18" s="84"/>
      <c r="U18" s="81">
        <f>SUM(O18:S18)*1%</f>
        <v>18.123060658333333</v>
      </c>
      <c r="W18" s="76">
        <f>SUM(O18:U18)</f>
        <v>1830.4291264916667</v>
      </c>
      <c r="Y18" s="85">
        <f>SUMIF([3]Adjustments!B$1:B$65536,A18,[3]Adjustments!F$1:F$65536)</f>
        <v>0</v>
      </c>
      <c r="Z18" s="84"/>
      <c r="AA18" s="85">
        <f>SUMIF([3]Savings!B$1:B$65536,A18,[3]Savings!F$1:F$65536)</f>
        <v>0</v>
      </c>
      <c r="AB18" s="84"/>
      <c r="AC18" s="81">
        <f>SUM(W18:AA18)*1%</f>
        <v>18.304291264916667</v>
      </c>
      <c r="AE18" s="76">
        <f>SUM(W18:AC18)</f>
        <v>1848.7334177565833</v>
      </c>
      <c r="AG18" s="85">
        <f>SUMIF([3]Adjustments!B$1:B$65536,A18,[3]Adjustments!G$1:G$65536)</f>
        <v>0</v>
      </c>
      <c r="AH18" s="84"/>
      <c r="AI18" s="85">
        <f>SUMIF([3]Savings!B$1:B$65536,A18,[3]Savings!G$1:G$65536)</f>
        <v>0</v>
      </c>
      <c r="AJ18" s="84"/>
      <c r="AK18" s="81">
        <f>SUM(AE18:AI18)*1%</f>
        <v>18.487334177565835</v>
      </c>
      <c r="AM18" s="76">
        <f>SUM(AE18:AK18)</f>
        <v>1867.2207519341491</v>
      </c>
      <c r="AO18" s="85">
        <f>SUMIF([3]Adjustments!B$1:B$65536,A18,[3]Adjustments!H$1:H$65536)</f>
        <v>0</v>
      </c>
      <c r="AP18" s="84"/>
      <c r="AQ18" s="85">
        <f>SUMIF([3]Savings!B$1:B$65536,A18,[3]Savings!H$1:H$65536)</f>
        <v>0</v>
      </c>
      <c r="AR18" s="84"/>
      <c r="AS18" s="76"/>
      <c r="AU18" s="76">
        <f>SUM(AM18:AS18)</f>
        <v>1867.2207519341491</v>
      </c>
    </row>
    <row r="19" spans="1:47" x14ac:dyDescent="0.25">
      <c r="A19" s="77" t="s">
        <v>78</v>
      </c>
      <c r="B19" s="78">
        <v>340299000</v>
      </c>
      <c r="C19" s="78">
        <v>0</v>
      </c>
      <c r="D19" s="78">
        <v>11845817.680000003</v>
      </c>
      <c r="E19" s="79"/>
      <c r="F19" s="80"/>
      <c r="G19" s="81">
        <f>SUM(G14:G18)</f>
        <v>352144.81767999998</v>
      </c>
      <c r="H19" s="81" t="s">
        <v>1</v>
      </c>
      <c r="I19" s="81">
        <f>SUM(I14:I18)</f>
        <v>15909.271540000002</v>
      </c>
      <c r="J19" s="76" t="s">
        <v>1</v>
      </c>
      <c r="K19" s="81">
        <f>SUM(K14:K18)</f>
        <v>-11766.546199999999</v>
      </c>
      <c r="L19" s="76" t="s">
        <v>1</v>
      </c>
      <c r="M19" s="81">
        <f>SUM(M14:M18)</f>
        <v>3172.0900999263545</v>
      </c>
      <c r="N19" s="86" t="s">
        <v>1</v>
      </c>
      <c r="O19" s="76">
        <f>SUM(O14:O18)</f>
        <v>359459.63311992632</v>
      </c>
      <c r="P19" s="86" t="s">
        <v>1</v>
      </c>
      <c r="Q19" s="76">
        <f>SUM(Q14:Q18)</f>
        <v>19679.781458333335</v>
      </c>
      <c r="R19" s="76" t="s">
        <v>1</v>
      </c>
      <c r="S19" s="76">
        <f>SUM(S14:S18)</f>
        <v>-12521.556999999999</v>
      </c>
      <c r="T19" s="76" t="s">
        <v>1</v>
      </c>
      <c r="U19" s="76">
        <f>SUM(U14:U18)</f>
        <v>3666.1785757825965</v>
      </c>
      <c r="V19" s="76" t="s">
        <v>1</v>
      </c>
      <c r="W19" s="76">
        <f>SUM(W14:W18)</f>
        <v>370284.03615404223</v>
      </c>
      <c r="X19" s="65" t="s">
        <v>1</v>
      </c>
      <c r="Y19" s="76">
        <f>SUM(Y14:Y18)</f>
        <v>17905.404137500002</v>
      </c>
      <c r="Z19" s="76" t="s">
        <v>1</v>
      </c>
      <c r="AA19" s="76">
        <f>SUM(AA14:AA18)</f>
        <v>-12695.015900000002</v>
      </c>
      <c r="AB19" s="76" t="s">
        <v>1</v>
      </c>
      <c r="AC19" s="76">
        <f>SUM(AC14:AC18)</f>
        <v>3754.9442439154222</v>
      </c>
      <c r="AD19" s="76" t="s">
        <v>1</v>
      </c>
      <c r="AE19" s="76">
        <f>SUM(AE14:AE18)</f>
        <v>379249.36863545771</v>
      </c>
      <c r="AG19" s="76">
        <f>SUM(AG14:AG18)</f>
        <v>13512.114819024999</v>
      </c>
      <c r="AH19" s="76" t="s">
        <v>1</v>
      </c>
      <c r="AI19" s="76">
        <f>SUM(AI14:AI18)</f>
        <v>-14085.573322000002</v>
      </c>
      <c r="AJ19" s="76" t="s">
        <v>1</v>
      </c>
      <c r="AK19" s="76">
        <f>SUM(AK14:AK18)</f>
        <v>3786.7591013248275</v>
      </c>
      <c r="AL19" s="86" t="s">
        <v>1</v>
      </c>
      <c r="AM19" s="76">
        <f>SUM(AM14:AM18)</f>
        <v>382462.66923380754</v>
      </c>
      <c r="AO19" s="76">
        <f>SUM(AO14:AO18)</f>
        <v>0</v>
      </c>
      <c r="AP19" s="76" t="s">
        <v>1</v>
      </c>
      <c r="AQ19" s="76">
        <f>SUM(AQ14:AQ18)</f>
        <v>0</v>
      </c>
      <c r="AR19" s="76" t="s">
        <v>1</v>
      </c>
      <c r="AS19" s="76">
        <f>SUM(AS14:AS18)</f>
        <v>0</v>
      </c>
      <c r="AT19" s="76" t="s">
        <v>1</v>
      </c>
      <c r="AU19" s="76">
        <f>SUM(AU14:AU18)</f>
        <v>382462.66923380754</v>
      </c>
    </row>
    <row r="20" spans="1:47" x14ac:dyDescent="0.25">
      <c r="B20" s="78"/>
      <c r="C20" s="78"/>
      <c r="D20" s="78"/>
      <c r="E20" s="79"/>
      <c r="G20" s="81"/>
      <c r="H20" s="82"/>
      <c r="I20" s="81"/>
      <c r="K20" s="81"/>
      <c r="M20" s="81"/>
      <c r="O20" s="76"/>
      <c r="Q20" s="76"/>
      <c r="S20" s="76"/>
      <c r="U20" s="76"/>
      <c r="W20" s="76"/>
      <c r="Y20" s="76"/>
      <c r="AA20" s="76"/>
      <c r="AC20" s="76"/>
      <c r="AE20" s="76"/>
      <c r="AG20" s="76"/>
      <c r="AI20" s="76"/>
      <c r="AK20" s="76"/>
      <c r="AM20" s="76"/>
      <c r="AO20" s="76"/>
      <c r="AQ20" s="76"/>
      <c r="AS20" s="76"/>
      <c r="AU20" s="76"/>
    </row>
    <row r="21" spans="1:47" x14ac:dyDescent="0.25">
      <c r="A21" s="87" t="s">
        <v>79</v>
      </c>
      <c r="B21" s="78"/>
      <c r="C21" s="78"/>
      <c r="D21" s="78"/>
      <c r="E21" s="79"/>
      <c r="G21" s="81"/>
      <c r="H21" s="82"/>
      <c r="I21" s="81"/>
      <c r="K21" s="81"/>
      <c r="M21" s="81"/>
      <c r="O21" s="76"/>
      <c r="Q21" s="76"/>
      <c r="S21" s="76"/>
      <c r="U21" s="76"/>
      <c r="W21" s="76"/>
      <c r="Y21" s="76"/>
      <c r="AA21" s="76"/>
      <c r="AC21" s="76"/>
      <c r="AE21" s="76"/>
      <c r="AG21" s="76"/>
      <c r="AI21" s="76"/>
      <c r="AK21" s="76"/>
      <c r="AM21" s="76"/>
      <c r="AO21" s="76"/>
      <c r="AQ21" s="76"/>
      <c r="AS21" s="76"/>
      <c r="AU21" s="76"/>
    </row>
    <row r="22" spans="1:47" x14ac:dyDescent="0.25">
      <c r="A22" s="77" t="s">
        <v>80</v>
      </c>
      <c r="B22" s="78">
        <v>3478000</v>
      </c>
      <c r="C22" s="78"/>
      <c r="D22" s="78">
        <v>7326146.4400000013</v>
      </c>
      <c r="E22" s="79"/>
      <c r="F22" s="80"/>
      <c r="G22" s="81">
        <f>SUMIF('[3]DEVOLVED AND DEL INC TRAIN'!B$1:B$65536,A22,'[3]DEVOLVED AND DEL INC TRAIN'!AA$1:AA$65536)/1000+SUMIF([3]REGION!B$1:B$65536,A22,[3]REGION!L$1:L$65536)/1000+SUMIF([3]CTU!B$1:B$65536,A22,[3]CTU!L$1:L$65536)/1000</f>
        <v>3673.788</v>
      </c>
      <c r="H22" s="82"/>
      <c r="I22" s="83">
        <f>SUM('[3]DEVOLVED AND DEL INC TRAIN:OPCC'!O91:P99)/1000+SUM('[3]DEVOLVED AND DEL INC TRAIN:OPCC'!G91:K99)/1000</f>
        <v>-61.808999999999997</v>
      </c>
      <c r="J22" s="84"/>
      <c r="K22" s="83">
        <f>SUM('[3]DEVOLVED AND DEL INC TRAIN:OPCC'!R91:U99)/1000</f>
        <v>-89.271000000000001</v>
      </c>
      <c r="L22" s="84"/>
      <c r="M22" s="81">
        <f>(G22+I22+K22)*1%</f>
        <v>35.227079999999994</v>
      </c>
      <c r="O22" s="76">
        <f t="shared" ref="O22:O46" si="0">SUM(G22:M22)</f>
        <v>3557.9350799999997</v>
      </c>
      <c r="Q22" s="83">
        <f>SUMIF([3]Adjustments!B$1:B$65536,A22,[3]Adjustments!E$1:E$65536)</f>
        <v>0</v>
      </c>
      <c r="R22" s="84"/>
      <c r="S22" s="85">
        <f>SUMIF([3]Savings!B$1:B$65536,A22,[3]Savings!E$1:E$65536)</f>
        <v>0</v>
      </c>
      <c r="T22" s="84"/>
      <c r="U22" s="81">
        <f>(O22+Q22+S22)*2%</f>
        <v>71.158701600000001</v>
      </c>
      <c r="W22" s="76">
        <f t="shared" ref="W22:W46" si="1">SUM(O22:U22)</f>
        <v>3629.0937815999996</v>
      </c>
      <c r="Y22" s="85">
        <f>SUMIF([3]Adjustments!B$1:B$65536,A22,[3]Adjustments!F$1:F$65536)</f>
        <v>0</v>
      </c>
      <c r="Z22" s="84"/>
      <c r="AA22" s="85">
        <f>SUMIF([3]Savings!B$1:B$65536,A22,[3]Savings!F$1:F$65536)</f>
        <v>0</v>
      </c>
      <c r="AB22" s="84"/>
      <c r="AC22" s="81">
        <f>(W22+Y22+AA22)*2%</f>
        <v>72.581875631999992</v>
      </c>
      <c r="AE22" s="76">
        <f t="shared" ref="AE22:AE46" si="2">SUM(W22:AC22)</f>
        <v>3701.6756572319996</v>
      </c>
      <c r="AG22" s="85">
        <f>SUMIF([3]Adjustments!B$1:B$65536,A22,[3]Adjustments!G$1:G$65536)</f>
        <v>0</v>
      </c>
      <c r="AH22" s="84"/>
      <c r="AI22" s="85">
        <f>SUMIF([3]Savings!B$1:B$65536,A22,[3]Savings!G$1:G$65536)</f>
        <v>0</v>
      </c>
      <c r="AJ22" s="84"/>
      <c r="AK22" s="81">
        <f>(AE22+AG22+AI22)*2%</f>
        <v>74.033513144639997</v>
      </c>
      <c r="AM22" s="76">
        <f t="shared" ref="AM22:AM46" si="3">SUM(AE22:AK22)</f>
        <v>3775.7091703766396</v>
      </c>
      <c r="AO22" s="85">
        <f>SUMIF([3]Adjustments!B$1:B$65536,A22,[3]Adjustments!H$1:H$65536)</f>
        <v>0</v>
      </c>
      <c r="AP22" s="84"/>
      <c r="AQ22" s="85">
        <f>SUMIF([3]Savings!B$1:B$65536,A22,[3]Savings!H$1:H$65536)</f>
        <v>0</v>
      </c>
      <c r="AR22" s="84"/>
      <c r="AS22" s="76"/>
      <c r="AU22" s="76">
        <f t="shared" ref="AU22:AU46" si="4">SUM(AM22:AS22)</f>
        <v>3775.7091703766396</v>
      </c>
    </row>
    <row r="23" spans="1:47" x14ac:dyDescent="0.25">
      <c r="A23" s="77" t="s">
        <v>81</v>
      </c>
      <c r="B23" s="78">
        <v>120000</v>
      </c>
      <c r="C23" s="78"/>
      <c r="D23" s="78">
        <v>590938</v>
      </c>
      <c r="E23" s="79"/>
      <c r="F23" s="80"/>
      <c r="G23" s="81">
        <f>SUMIF('[3]DEVOLVED AND DEL INC TRAIN'!B$1:B$65536,A23,'[3]DEVOLVED AND DEL INC TRAIN'!AA$1:AA$65536)/1000+SUMIF([3]REGION!B$1:B$65536,A23,[3]REGION!L$1:L$65536)/1000+SUMIF([3]CTU!B$1:B$65536,A23,[3]CTU!L$1:L$65536)/1000</f>
        <v>7841.296440000001</v>
      </c>
      <c r="H23" s="82"/>
      <c r="I23" s="83">
        <f>SUM('[3]DEVOLVED AND DEL INC TRAIN:OPCC'!O100:P103)/1000+SUM('[3]DEVOLVED AND DEL INC TRAIN:OPCC'!G100:K103)/1000</f>
        <v>50</v>
      </c>
      <c r="J23" s="84"/>
      <c r="K23" s="83">
        <f>SUM('[3]DEVOLVED AND DEL INC TRAIN:OPCC'!R100:U103)/1000</f>
        <v>-18.940000000000001</v>
      </c>
      <c r="L23" s="84"/>
      <c r="M23" s="81">
        <f t="shared" ref="M23:M46" si="5">(G23+I23+K23)*1%</f>
        <v>78.723564400000015</v>
      </c>
      <c r="O23" s="76">
        <f t="shared" si="0"/>
        <v>7951.0800044000016</v>
      </c>
      <c r="Q23" s="83">
        <f>SUMIF([3]Adjustments!B$1:B$65536,A23,[3]Adjustments!E$1:E$65536)</f>
        <v>-50</v>
      </c>
      <c r="R23" s="84"/>
      <c r="S23" s="85">
        <f>SUMIF([3]Savings!B$1:B$65536,A23,[3]Savings!E$1:E$65536)</f>
        <v>0</v>
      </c>
      <c r="T23" s="84"/>
      <c r="U23" s="81">
        <f t="shared" ref="U23:U46" si="6">(O23+Q23+S23)*2%</f>
        <v>158.02160008800004</v>
      </c>
      <c r="W23" s="76">
        <f t="shared" si="1"/>
        <v>8059.1016044880016</v>
      </c>
      <c r="Y23" s="85">
        <f>SUMIF([3]Adjustments!B$1:B$65536,A23,[3]Adjustments!F$1:F$65536)</f>
        <v>0</v>
      </c>
      <c r="Z23" s="84"/>
      <c r="AA23" s="85">
        <f>SUMIF([3]Savings!B$1:B$65536,A23,[3]Savings!F$1:F$65536)</f>
        <v>0</v>
      </c>
      <c r="AB23" s="84"/>
      <c r="AC23" s="81">
        <f t="shared" ref="AC23:AC46" si="7">(W23+Y23+AA23)*2%</f>
        <v>161.18203208976004</v>
      </c>
      <c r="AE23" s="76">
        <f t="shared" si="2"/>
        <v>8220.2836365777621</v>
      </c>
      <c r="AG23" s="85">
        <f>SUMIF([3]Adjustments!B$1:B$65536,A23,[3]Adjustments!G$1:G$65536)</f>
        <v>0</v>
      </c>
      <c r="AH23" s="84"/>
      <c r="AI23" s="85">
        <f>SUMIF([3]Savings!B$1:B$65536,A23,[3]Savings!G$1:G$65536)</f>
        <v>0</v>
      </c>
      <c r="AJ23" s="84"/>
      <c r="AK23" s="81">
        <f t="shared" ref="AK23:AK46" si="8">(AE23+AG23+AI23)*2%</f>
        <v>164.40567273155526</v>
      </c>
      <c r="AM23" s="76">
        <f t="shared" si="3"/>
        <v>8384.6893093093167</v>
      </c>
      <c r="AO23" s="85">
        <f>SUMIF([3]Adjustments!B$1:B$65536,A23,[3]Adjustments!H$1:H$65536)</f>
        <v>0</v>
      </c>
      <c r="AP23" s="84"/>
      <c r="AQ23" s="85">
        <f>SUMIF([3]Savings!B$1:B$65536,A23,[3]Savings!H$1:H$65536)</f>
        <v>0</v>
      </c>
      <c r="AR23" s="84"/>
      <c r="AS23" s="76"/>
      <c r="AU23" s="76">
        <f t="shared" si="4"/>
        <v>8384.6893093093167</v>
      </c>
    </row>
    <row r="24" spans="1:47" x14ac:dyDescent="0.25">
      <c r="A24" s="77" t="s">
        <v>82</v>
      </c>
      <c r="B24" s="78">
        <v>1772000</v>
      </c>
      <c r="C24" s="78"/>
      <c r="D24" s="78">
        <v>-103400</v>
      </c>
      <c r="E24" s="79"/>
      <c r="F24" s="80"/>
      <c r="G24" s="81">
        <f>SUMIF('[3]DEVOLVED AND DEL INC TRAIN'!B$1:B$65536,A24,'[3]DEVOLVED AND DEL INC TRAIN'!AA$1:AA$65536)/1000+SUMIF([3]REGION!B$1:B$65536,A24,[3]REGION!L$1:L$65536)/1000+SUMIF([3]CTU!B$1:B$65536,A24,[3]CTU!L$1:L$65536)/1000</f>
        <v>1668.6</v>
      </c>
      <c r="H24" s="82"/>
      <c r="I24" s="83">
        <f>SUM('[3]DEVOLVED AND DEL INC TRAIN:OPCC'!O85:P90)/1000+SUM('[3]DEVOLVED AND DEL INC TRAIN:OPCC'!G85:K90)/1000</f>
        <v>0</v>
      </c>
      <c r="J24" s="84"/>
      <c r="K24" s="83">
        <f>SUM('[3]DEVOLVED AND DEL INC TRAIN:OPCC'!R85:U90)/1000</f>
        <v>428.67599999999999</v>
      </c>
      <c r="L24" s="84"/>
      <c r="M24" s="81">
        <f t="shared" si="5"/>
        <v>20.972759999999997</v>
      </c>
      <c r="O24" s="76">
        <f t="shared" si="0"/>
        <v>2118.2487599999999</v>
      </c>
      <c r="Q24" s="83">
        <f>SUMIF([3]Adjustments!B$1:B$65536,A24,[3]Adjustments!E$1:E$65536)</f>
        <v>0</v>
      </c>
      <c r="R24" s="84"/>
      <c r="S24" s="85">
        <f>SUMIF([3]Savings!B$1:B$65536,A24,[3]Savings!E$1:E$65536)</f>
        <v>0</v>
      </c>
      <c r="T24" s="84"/>
      <c r="U24" s="81">
        <f t="shared" si="6"/>
        <v>42.364975199999996</v>
      </c>
      <c r="W24" s="76">
        <f t="shared" si="1"/>
        <v>2160.6137352000001</v>
      </c>
      <c r="Y24" s="85">
        <f>SUMIF([3]Adjustments!B$1:B$65536,A24,[3]Adjustments!F$1:F$65536)</f>
        <v>0</v>
      </c>
      <c r="Z24" s="84"/>
      <c r="AA24" s="85">
        <f>SUMIF([3]Savings!B$1:B$65536,A24,[3]Savings!F$1:F$65536)</f>
        <v>0</v>
      </c>
      <c r="AB24" s="84"/>
      <c r="AC24" s="81">
        <f t="shared" si="7"/>
        <v>43.212274704000002</v>
      </c>
      <c r="AE24" s="76">
        <f t="shared" si="2"/>
        <v>2203.8260099039999</v>
      </c>
      <c r="AG24" s="85">
        <f>SUMIF([3]Adjustments!B$1:B$65536,A24,[3]Adjustments!G$1:G$65536)</f>
        <v>0</v>
      </c>
      <c r="AH24" s="84"/>
      <c r="AI24" s="85">
        <f>SUMIF([3]Savings!B$1:B$65536,A24,[3]Savings!G$1:G$65536)</f>
        <v>0</v>
      </c>
      <c r="AJ24" s="84"/>
      <c r="AK24" s="81">
        <f t="shared" si="8"/>
        <v>44.076520198079997</v>
      </c>
      <c r="AM24" s="76">
        <f t="shared" si="3"/>
        <v>2247.9025301020797</v>
      </c>
      <c r="AO24" s="85">
        <f>SUMIF([3]Adjustments!B$1:B$65536,A24,[3]Adjustments!H$1:H$65536)</f>
        <v>0</v>
      </c>
      <c r="AP24" s="84"/>
      <c r="AQ24" s="85">
        <f>SUMIF([3]Savings!B$1:B$65536,A24,[3]Savings!H$1:H$65536)</f>
        <v>0</v>
      </c>
      <c r="AR24" s="84"/>
      <c r="AS24" s="76"/>
      <c r="AU24" s="76">
        <f t="shared" si="4"/>
        <v>2247.9025301020797</v>
      </c>
    </row>
    <row r="25" spans="1:47" x14ac:dyDescent="0.25">
      <c r="A25" s="77" t="s">
        <v>83</v>
      </c>
      <c r="B25" s="78">
        <v>566000</v>
      </c>
      <c r="C25" s="78"/>
      <c r="D25" s="78">
        <v>193174.16000000003</v>
      </c>
      <c r="E25" s="79"/>
      <c r="F25" s="80"/>
      <c r="G25" s="81">
        <f>SUMIF('[3]DEVOLVED AND DEL INC TRAIN'!B$1:B$65536,A25,'[3]DEVOLVED AND DEL INC TRAIN'!AA$1:AA$65536)/1000+SUMIF([3]REGION!B$1:B$65536,A25,[3]REGION!L$1:L$65536)/1000+SUMIF([3]CTU!B$1:B$65536,A25,[3]CTU!L$1:L$65536)/1000</f>
        <v>759.17416000000003</v>
      </c>
      <c r="H25" s="82"/>
      <c r="I25" s="83">
        <f>SUM('[3]DEVOLVED AND DEL INC TRAIN:OPCC'!O35:P35)/1000+SUM('[3]DEVOLVED AND DEL INC TRAIN:OPCC'!G35:K35)/1000</f>
        <v>90.5</v>
      </c>
      <c r="J25" s="84"/>
      <c r="K25" s="83">
        <f>SUM('[3]DEVOLVED AND DEL INC TRAIN:OPCC'!R35:U35)/1000</f>
        <v>-39.128</v>
      </c>
      <c r="L25" s="84"/>
      <c r="M25" s="81">
        <f t="shared" si="5"/>
        <v>8.1054615999999999</v>
      </c>
      <c r="O25" s="76">
        <f t="shared" si="0"/>
        <v>818.6516216</v>
      </c>
      <c r="Q25" s="83">
        <f>SUMIF([3]Adjustments!B$1:B$65536,A25,[3]Adjustments!E$1:E$65536)</f>
        <v>0</v>
      </c>
      <c r="R25" s="84"/>
      <c r="S25" s="85">
        <f>SUMIF([3]Savings!B$1:B$65536,A25,[3]Savings!E$1:E$65536)</f>
        <v>0</v>
      </c>
      <c r="T25" s="84"/>
      <c r="U25" s="81">
        <f t="shared" si="6"/>
        <v>16.373032431999999</v>
      </c>
      <c r="W25" s="76">
        <f t="shared" si="1"/>
        <v>835.02465403199994</v>
      </c>
      <c r="Y25" s="85">
        <f>SUMIF([3]Adjustments!B$1:B$65536,A25,[3]Adjustments!F$1:F$65536)</f>
        <v>0</v>
      </c>
      <c r="Z25" s="84"/>
      <c r="AA25" s="85">
        <f>SUMIF([3]Savings!B$1:B$65536,A25,[3]Savings!F$1:F$65536)</f>
        <v>0</v>
      </c>
      <c r="AB25" s="84"/>
      <c r="AC25" s="81">
        <f t="shared" si="7"/>
        <v>16.700493080639998</v>
      </c>
      <c r="AE25" s="76">
        <f t="shared" si="2"/>
        <v>851.72514711263989</v>
      </c>
      <c r="AG25" s="85">
        <f>SUMIF([3]Adjustments!B$1:B$65536,A25,[3]Adjustments!G$1:G$65536)</f>
        <v>0</v>
      </c>
      <c r="AH25" s="84"/>
      <c r="AI25" s="85">
        <f>SUMIF([3]Savings!B$1:B$65536,A25,[3]Savings!G$1:G$65536)</f>
        <v>0</v>
      </c>
      <c r="AJ25" s="84"/>
      <c r="AK25" s="81">
        <f t="shared" si="8"/>
        <v>17.034502942252796</v>
      </c>
      <c r="AM25" s="76">
        <f t="shared" si="3"/>
        <v>868.75965005489263</v>
      </c>
      <c r="AO25" s="85">
        <f>SUMIF([3]Adjustments!B$1:B$65536,A25,[3]Adjustments!H$1:H$65536)</f>
        <v>0</v>
      </c>
      <c r="AP25" s="84"/>
      <c r="AQ25" s="85">
        <f>SUMIF([3]Savings!B$1:B$65536,A25,[3]Savings!H$1:H$65536)</f>
        <v>0</v>
      </c>
      <c r="AR25" s="84"/>
      <c r="AS25" s="76"/>
      <c r="AU25" s="76">
        <f t="shared" si="4"/>
        <v>868.75965005489263</v>
      </c>
    </row>
    <row r="26" spans="1:47" x14ac:dyDescent="0.25">
      <c r="A26" s="77" t="s">
        <v>84</v>
      </c>
      <c r="B26" s="78">
        <v>11575000</v>
      </c>
      <c r="C26" s="78"/>
      <c r="D26" s="88">
        <v>554043.0700000003</v>
      </c>
      <c r="E26" s="79"/>
      <c r="F26" s="80"/>
      <c r="G26" s="81">
        <f>SUMIF('[3]DEVOLVED AND DEL INC TRAIN'!B$1:B$65536,A26,'[3]DEVOLVED AND DEL INC TRAIN'!AA$1:AA$65536)/1000+SUMIF([3]REGION!B$1:B$65536,A26,[3]REGION!L$1:L$65536)/1000+SUMIF([3]CTU!B$1:B$65536,A26,[3]CTU!L$1:L$65536)/1000</f>
        <v>12129.04307</v>
      </c>
      <c r="H26" s="82"/>
      <c r="I26" s="83">
        <f>SUM('[3]DEVOLVED AND DEL INC TRAIN:OPCC'!O68:P82)/1000+SUM('[3]DEVOLVED AND DEL INC TRAIN:OPCC'!G68:K82)/1000</f>
        <v>743.84224000000006</v>
      </c>
      <c r="J26" s="84"/>
      <c r="K26" s="83">
        <f>SUM('[3]DEVOLVED AND DEL INC TRAIN:OPCC'!R68:U82)/1000</f>
        <v>-506.61099999999999</v>
      </c>
      <c r="L26" s="84"/>
      <c r="M26" s="81">
        <f t="shared" si="5"/>
        <v>123.66274309999999</v>
      </c>
      <c r="O26" s="76">
        <f>SUM(G26:M26)</f>
        <v>12489.937053099999</v>
      </c>
      <c r="Q26" s="83">
        <f>SUMIF([3]Adjustments!B$1:B$65536,A26,[3]Adjustments!E$1:E$65536)</f>
        <v>81</v>
      </c>
      <c r="R26" s="84"/>
      <c r="S26" s="85">
        <f>SUMIF([3]Savings!B$1:B$65536,A26,[3]Savings!E$1:E$65536)</f>
        <v>0</v>
      </c>
      <c r="T26" s="84"/>
      <c r="U26" s="81">
        <f t="shared" si="6"/>
        <v>251.41874106199998</v>
      </c>
      <c r="W26" s="76">
        <f t="shared" si="1"/>
        <v>12822.355794161998</v>
      </c>
      <c r="Y26" s="85">
        <f>SUMIF([3]Adjustments!B$1:B$65536,A26,[3]Adjustments!F$1:F$65536)</f>
        <v>124</v>
      </c>
      <c r="Z26" s="84"/>
      <c r="AA26" s="85">
        <f>SUMIF([3]Savings!B$1:B$65536,A26,[3]Savings!F$1:F$65536)</f>
        <v>-25.2</v>
      </c>
      <c r="AB26" s="84"/>
      <c r="AC26" s="81">
        <f t="shared" si="7"/>
        <v>258.42311588323997</v>
      </c>
      <c r="AE26" s="76">
        <f t="shared" si="2"/>
        <v>13179.578910045238</v>
      </c>
      <c r="AG26" s="85">
        <f>SUMIF([3]Adjustments!B$1:B$65536,A26,[3]Adjustments!G$1:G$65536)</f>
        <v>0</v>
      </c>
      <c r="AH26" s="84"/>
      <c r="AI26" s="85">
        <f>SUMIF([3]Savings!B$1:B$65536,A26,[3]Savings!G$1:G$65536)</f>
        <v>0</v>
      </c>
      <c r="AJ26" s="84"/>
      <c r="AK26" s="81">
        <f t="shared" si="8"/>
        <v>263.59157820090479</v>
      </c>
      <c r="AM26" s="76">
        <f t="shared" si="3"/>
        <v>13443.170488246144</v>
      </c>
      <c r="AO26" s="85">
        <f>SUMIF([3]Adjustments!B$1:B$65536,A26,[3]Adjustments!H$1:H$65536)</f>
        <v>0</v>
      </c>
      <c r="AP26" s="84"/>
      <c r="AQ26" s="85">
        <f>SUMIF([3]Savings!B$1:B$65536,A26,[3]Savings!H$1:H$65536)</f>
        <v>0</v>
      </c>
      <c r="AR26" s="84"/>
      <c r="AS26" s="76"/>
      <c r="AU26" s="76">
        <f t="shared" si="4"/>
        <v>13443.170488246144</v>
      </c>
    </row>
    <row r="27" spans="1:47" x14ac:dyDescent="0.25">
      <c r="A27" s="77" t="s">
        <v>85</v>
      </c>
      <c r="B27" s="78">
        <v>2601000</v>
      </c>
      <c r="C27" s="78"/>
      <c r="D27" s="88">
        <v>-308475</v>
      </c>
      <c r="E27" s="79"/>
      <c r="F27" s="80"/>
      <c r="G27" s="81">
        <f>SUMIF('[3]DEVOLVED AND DEL INC TRAIN'!B$1:B$65536,A27,'[3]DEVOLVED AND DEL INC TRAIN'!AA$1:AA$65536)/1000+SUMIF([3]REGION!B$1:B$65536,A27,[3]REGION!L$1:L$65536)/1000+SUMIF([3]CTU!B$1:B$65536,A27,[3]CTU!L$1:L$65536)/1000</f>
        <v>2292.5250000000001</v>
      </c>
      <c r="H27" s="82"/>
      <c r="I27" s="83">
        <f>SUM('[3]DEVOLVED AND DEL INC TRAIN:OPCC'!O42:P49)/1000+SUM('[3]DEVOLVED AND DEL INC TRAIN:OPCC'!O64:P64)/1000+SUM('[3]DEVOLVED AND DEL INC TRAIN:OPCC'!G42:K49)/1000+SUM('[3]DEVOLVED AND DEL INC TRAIN:OPCC'!G64:K64)/1000</f>
        <v>-35.502000000000002</v>
      </c>
      <c r="J27" s="84"/>
      <c r="K27" s="83">
        <f>SUM('[3]DEVOLVED AND DEL INC TRAIN:OPCC'!R42:U49)/1000+SUM('[3]DEVOLVED AND DEL INC TRAIN:OPCC'!R64:U64)/1000</f>
        <v>-275.73599999999999</v>
      </c>
      <c r="L27" s="84"/>
      <c r="M27" s="81">
        <f t="shared" si="5"/>
        <v>19.812870000000004</v>
      </c>
      <c r="O27" s="76">
        <f t="shared" si="0"/>
        <v>2001.0998700000002</v>
      </c>
      <c r="Q27" s="83">
        <f>SUMIF([3]Adjustments!B$1:B$65536,A27,[3]Adjustments!E$1:E$65536)</f>
        <v>0</v>
      </c>
      <c r="R27" s="84"/>
      <c r="S27" s="85">
        <f>SUMIF([3]Savings!B$1:B$65536,A27,[3]Savings!E$1:E$65536)</f>
        <v>0</v>
      </c>
      <c r="T27" s="84"/>
      <c r="U27" s="81">
        <f t="shared" si="6"/>
        <v>40.021997400000004</v>
      </c>
      <c r="W27" s="76">
        <f t="shared" si="1"/>
        <v>2041.1218674000002</v>
      </c>
      <c r="Y27" s="85">
        <f>SUMIF([3]Adjustments!B$1:B$65536,A27,[3]Adjustments!F$1:F$65536)</f>
        <v>0</v>
      </c>
      <c r="Z27" s="84"/>
      <c r="AA27" s="85">
        <f>SUMIF([3]Savings!B$1:B$65536,A27,[3]Savings!F$1:F$65536)</f>
        <v>0</v>
      </c>
      <c r="AB27" s="84"/>
      <c r="AC27" s="81">
        <f t="shared" si="7"/>
        <v>40.822437348000001</v>
      </c>
      <c r="AE27" s="76">
        <f t="shared" si="2"/>
        <v>2081.9443047480004</v>
      </c>
      <c r="AG27" s="85">
        <f>SUMIF([3]Adjustments!B$1:B$65536,A27,[3]Adjustments!G$1:G$65536)</f>
        <v>225</v>
      </c>
      <c r="AH27" s="84"/>
      <c r="AI27" s="85">
        <f>SUMIF([3]Savings!B$1:B$65536,A27,[3]Savings!G$1:G$65536)</f>
        <v>0</v>
      </c>
      <c r="AJ27" s="84"/>
      <c r="AK27" s="81">
        <f t="shared" si="8"/>
        <v>46.138886094960007</v>
      </c>
      <c r="AM27" s="76">
        <f t="shared" si="3"/>
        <v>2353.0831908429604</v>
      </c>
      <c r="AO27" s="85">
        <f>SUMIF([3]Adjustments!B$1:B$65536,A27,[3]Adjustments!H$1:H$65536)</f>
        <v>-225</v>
      </c>
      <c r="AP27" s="84"/>
      <c r="AQ27" s="85">
        <f>SUMIF([3]Savings!B$1:B$65536,A27,[3]Savings!H$1:H$65536)</f>
        <v>0</v>
      </c>
      <c r="AR27" s="84"/>
      <c r="AS27" s="76"/>
      <c r="AU27" s="76">
        <f t="shared" si="4"/>
        <v>2128.0831908429604</v>
      </c>
    </row>
    <row r="28" spans="1:47" x14ac:dyDescent="0.25">
      <c r="A28" s="77" t="s">
        <v>86</v>
      </c>
      <c r="B28" s="78">
        <v>2207000</v>
      </c>
      <c r="C28" s="78"/>
      <c r="D28" s="78">
        <v>-269474</v>
      </c>
      <c r="E28" s="79"/>
      <c r="F28" s="80"/>
      <c r="G28" s="81">
        <f>SUMIF('[3]DEVOLVED AND DEL INC TRAIN'!B$1:B$65536,A28,'[3]DEVOLVED AND DEL INC TRAIN'!AA$1:AA$65536)/1000+SUMIF([3]REGION!B$1:B$65536,A28,[3]REGION!L$1:L$65536)/1000+SUMIF([3]CTU!B$1:B$65536,A28,[3]CTU!L$1:L$65536)/1000</f>
        <v>1937.5260000000001</v>
      </c>
      <c r="H28" s="82"/>
      <c r="I28" s="83">
        <f>SUM('[3]DEVOLVED AND DEL INC TRAIN:OPCC'!O57:P57)/1000+SUM('[3]DEVOLVED AND DEL INC TRAIN:OPCC'!G57:K57)/1000</f>
        <v>0</v>
      </c>
      <c r="J28" s="84"/>
      <c r="K28" s="83">
        <f>SUM('[3]DEVOLVED AND DEL INC TRAIN:OPCC'!R57:U57)/1000</f>
        <v>-211.28399999999999</v>
      </c>
      <c r="L28" s="84"/>
      <c r="M28" s="81">
        <f t="shared" si="5"/>
        <v>17.262420000000002</v>
      </c>
      <c r="O28" s="76">
        <f t="shared" si="0"/>
        <v>1743.5044200000002</v>
      </c>
      <c r="Q28" s="83">
        <f>SUMIF([3]Adjustments!B$1:B$65536,A28,[3]Adjustments!E$1:E$65536)</f>
        <v>0</v>
      </c>
      <c r="R28" s="84"/>
      <c r="S28" s="85">
        <f>SUMIF([3]Savings!B$1:B$65536,A28,[3]Savings!E$1:E$65536)</f>
        <v>0</v>
      </c>
      <c r="T28" s="84"/>
      <c r="U28" s="81">
        <f t="shared" si="6"/>
        <v>34.870088400000007</v>
      </c>
      <c r="W28" s="76">
        <f t="shared" si="1"/>
        <v>1778.3745084000002</v>
      </c>
      <c r="Y28" s="85">
        <f>SUMIF([3]Adjustments!B$1:B$65536,A28,[3]Adjustments!F$1:F$65536)</f>
        <v>0</v>
      </c>
      <c r="Z28" s="84"/>
      <c r="AA28" s="85">
        <f>SUMIF([3]Savings!B$1:B$65536,A28,[3]Savings!F$1:F$65536)</f>
        <v>0</v>
      </c>
      <c r="AB28" s="84"/>
      <c r="AC28" s="81">
        <f t="shared" si="7"/>
        <v>35.567490168000006</v>
      </c>
      <c r="AE28" s="76">
        <f t="shared" si="2"/>
        <v>1813.9419985680001</v>
      </c>
      <c r="AG28" s="85">
        <f>SUMIF([3]Adjustments!B$1:B$65536,A28,[3]Adjustments!G$1:G$65536)</f>
        <v>0</v>
      </c>
      <c r="AH28" s="84"/>
      <c r="AI28" s="85">
        <f>SUMIF([3]Savings!B$1:B$65536,A28,[3]Savings!G$1:G$65536)</f>
        <v>0</v>
      </c>
      <c r="AJ28" s="84"/>
      <c r="AK28" s="81">
        <f t="shared" si="8"/>
        <v>36.278839971360007</v>
      </c>
      <c r="AM28" s="76">
        <f t="shared" si="3"/>
        <v>1850.2208385393601</v>
      </c>
      <c r="AO28" s="85">
        <f>SUMIF([3]Adjustments!B$1:B$65536,A28,[3]Adjustments!H$1:H$65536)</f>
        <v>0</v>
      </c>
      <c r="AP28" s="84"/>
      <c r="AQ28" s="85">
        <f>SUMIF([3]Savings!B$1:B$65536,A28,[3]Savings!H$1:H$65536)</f>
        <v>0</v>
      </c>
      <c r="AR28" s="84"/>
      <c r="AS28" s="76"/>
      <c r="AU28" s="76">
        <f t="shared" si="4"/>
        <v>1850.2208385393601</v>
      </c>
    </row>
    <row r="29" spans="1:47" x14ac:dyDescent="0.25">
      <c r="A29" s="77" t="s">
        <v>87</v>
      </c>
      <c r="B29" s="78">
        <v>21335000</v>
      </c>
      <c r="C29" s="78"/>
      <c r="D29" s="88">
        <v>-262943</v>
      </c>
      <c r="E29" s="79"/>
      <c r="F29" s="80"/>
      <c r="G29" s="81">
        <f>SUMIF('[3]DEVOLVED AND DEL INC TRAIN'!B$1:B$65536,A29,'[3]DEVOLVED AND DEL INC TRAIN'!AA$1:AA$65536)/1000+SUMIF([3]REGION!B$1:B$65536,A29,[3]REGION!L$1:L$65536)/1000+SUMIF([3]CTU!B$1:B$65536,A29,[3]CTU!L$1:L$65536)/1000</f>
        <v>21072.057000000001</v>
      </c>
      <c r="H29" s="82"/>
      <c r="I29" s="83">
        <f>SUM('[3]DEVOLVED AND DEL INC TRAIN:OPCC'!O60:P61)/1000+SUM('[3]DEVOLVED AND DEL INC TRAIN:OPCC'!G60:K61)/1000</f>
        <v>51.592088000000004</v>
      </c>
      <c r="J29" s="84"/>
      <c r="K29" s="83">
        <f>SUM('[3]DEVOLVED AND DEL INC TRAIN:OPCC'!R60:U61)/1000</f>
        <v>-909.42899999999997</v>
      </c>
      <c r="L29" s="84"/>
      <c r="M29" s="81">
        <f t="shared" si="5"/>
        <v>202.14220088000002</v>
      </c>
      <c r="O29" s="76">
        <f t="shared" si="0"/>
        <v>20416.362288880002</v>
      </c>
      <c r="Q29" s="83">
        <f>SUMIF([3]Adjustments!B$1:B$65536,A29,[3]Adjustments!E$1:E$65536)</f>
        <v>0</v>
      </c>
      <c r="R29" s="84"/>
      <c r="S29" s="85">
        <f>SUMIF([3]Savings!B$1:B$65536,A29,[3]Savings!E$1:E$65536)</f>
        <v>-1000</v>
      </c>
      <c r="T29" s="84"/>
      <c r="U29" s="81">
        <f t="shared" si="6"/>
        <v>388.32724577760007</v>
      </c>
      <c r="W29" s="76">
        <f t="shared" si="1"/>
        <v>19804.689534657602</v>
      </c>
      <c r="Y29" s="85">
        <f>SUMIF([3]Adjustments!B$1:B$65536,A29,[3]Adjustments!F$1:F$65536)</f>
        <v>0</v>
      </c>
      <c r="Z29" s="84"/>
      <c r="AA29" s="85">
        <f>SUMIF([3]Savings!B$1:B$65536,A29,[3]Savings!F$1:F$65536)</f>
        <v>-1220</v>
      </c>
      <c r="AB29" s="84"/>
      <c r="AC29" s="81">
        <f t="shared" si="7"/>
        <v>371.69379069315204</v>
      </c>
      <c r="AE29" s="76">
        <f t="shared" si="2"/>
        <v>18956.383325350755</v>
      </c>
      <c r="AG29" s="85">
        <f>SUMIF([3]Adjustments!B$1:B$65536,A29,[3]Adjustments!G$1:G$65536)</f>
        <v>0</v>
      </c>
      <c r="AH29" s="84"/>
      <c r="AI29" s="85">
        <f>SUMIF([3]Savings!B$1:B$65536,A29,[3]Savings!G$1:G$65536)</f>
        <v>0</v>
      </c>
      <c r="AJ29" s="84"/>
      <c r="AK29" s="81">
        <f t="shared" si="8"/>
        <v>379.12766650701508</v>
      </c>
      <c r="AM29" s="76">
        <f t="shared" si="3"/>
        <v>19335.510991857769</v>
      </c>
      <c r="AO29" s="85">
        <f>SUMIF([3]Adjustments!B$1:B$65536,A29,[3]Adjustments!H$1:H$65536)</f>
        <v>0</v>
      </c>
      <c r="AP29" s="84"/>
      <c r="AQ29" s="85">
        <f>SUMIF([3]Savings!B$1:B$65536,A29,[3]Savings!H$1:H$65536)</f>
        <v>0</v>
      </c>
      <c r="AR29" s="84"/>
      <c r="AS29" s="76"/>
      <c r="AU29" s="76">
        <f t="shared" si="4"/>
        <v>19335.510991857769</v>
      </c>
    </row>
    <row r="30" spans="1:47" x14ac:dyDescent="0.25">
      <c r="A30" s="77" t="s">
        <v>88</v>
      </c>
      <c r="B30" s="78">
        <v>6087000</v>
      </c>
      <c r="C30" s="78"/>
      <c r="D30" s="88">
        <v>-806206</v>
      </c>
      <c r="E30" s="79"/>
      <c r="F30" s="80"/>
      <c r="G30" s="81">
        <f>SUMIF('[3]DEVOLVED AND DEL INC TRAIN'!B$1:B$65536,A30,'[3]DEVOLVED AND DEL INC TRAIN'!AA$1:AA$65536)/1000+SUMIF([3]REGION!B$1:B$65536,A30,[3]REGION!L$1:L$65536)/1000+SUMIF([3]CTU!B$1:B$65536,A30,[3]CTU!L$1:L$65536)/1000</f>
        <v>5280.7939999999999</v>
      </c>
      <c r="H30" s="82"/>
      <c r="I30" s="83">
        <f>SUM('[3]DEVOLVED AND DEL INC TRAIN:OPCC'!O50:P51)/1000+SUM('[3]DEVOLVED AND DEL INC TRAIN:OPCC'!O63:P63)/1000+SUM('[3]DEVOLVED AND DEL INC TRAIN:OPCC'!O65:P65)/1000+SUM('[3]DEVOLVED AND DEL INC TRAIN:OPCC'!G50:K51)/1000+SUM('[3]DEVOLVED AND DEL INC TRAIN:OPCC'!G63:K63)/1000+SUM('[3]DEVOLVED AND DEL INC TRAIN:OPCC'!G65:K65)/1000</f>
        <v>0</v>
      </c>
      <c r="J30" s="84"/>
      <c r="K30" s="83">
        <f>SUM('[3]DEVOLVED AND DEL INC TRAIN:OPCC'!R50:U51)/1000+SUM('[3]DEVOLVED AND DEL INC TRAIN:OPCC'!R63:U63)/1000+SUM('[3]DEVOLVED AND DEL INC TRAIN:OPCC'!R65:U65)/1000</f>
        <v>-271.80099999999999</v>
      </c>
      <c r="L30" s="84"/>
      <c r="M30" s="81">
        <f t="shared" si="5"/>
        <v>50.089929999999995</v>
      </c>
      <c r="O30" s="76">
        <f t="shared" si="0"/>
        <v>5059.0829299999996</v>
      </c>
      <c r="Q30" s="83">
        <f>SUMIF([3]Adjustments!B$1:B$65536,A30,[3]Adjustments!E$1:E$65536)</f>
        <v>0</v>
      </c>
      <c r="R30" s="84"/>
      <c r="S30" s="85">
        <f>SUMIF([3]Savings!B$1:B$65536,A30,[3]Savings!E$1:E$65536)</f>
        <v>0</v>
      </c>
      <c r="T30" s="84"/>
      <c r="U30" s="81">
        <f t="shared" si="6"/>
        <v>101.18165859999999</v>
      </c>
      <c r="W30" s="76">
        <f t="shared" si="1"/>
        <v>5160.2645885999991</v>
      </c>
      <c r="Y30" s="85">
        <f>SUMIF([3]Adjustments!B$1:B$65536,A30,[3]Adjustments!F$1:F$65536)</f>
        <v>0</v>
      </c>
      <c r="Z30" s="84"/>
      <c r="AA30" s="85">
        <f>SUMIF([3]Savings!B$1:B$65536,A30,[3]Savings!F$1:F$65536)</f>
        <v>0</v>
      </c>
      <c r="AB30" s="84"/>
      <c r="AC30" s="81">
        <f t="shared" si="7"/>
        <v>103.20529177199998</v>
      </c>
      <c r="AE30" s="76">
        <f t="shared" si="2"/>
        <v>5263.4698803719994</v>
      </c>
      <c r="AG30" s="85">
        <f>SUMIF([3]Adjustments!B$1:B$65536,A30,[3]Adjustments!G$1:G$65536)</f>
        <v>0</v>
      </c>
      <c r="AH30" s="84"/>
      <c r="AI30" s="85">
        <f>SUMIF([3]Savings!B$1:B$65536,A30,[3]Savings!G$1:G$65536)</f>
        <v>0</v>
      </c>
      <c r="AJ30" s="84"/>
      <c r="AK30" s="81">
        <f t="shared" si="8"/>
        <v>105.26939760743998</v>
      </c>
      <c r="AM30" s="76">
        <f t="shared" si="3"/>
        <v>5368.7392779794391</v>
      </c>
      <c r="AO30" s="85">
        <f>SUMIF([3]Adjustments!B$1:B$65536,A30,[3]Adjustments!H$1:H$65536)</f>
        <v>0</v>
      </c>
      <c r="AP30" s="84"/>
      <c r="AQ30" s="85">
        <f>SUMIF([3]Savings!B$1:B$65536,A30,[3]Savings!H$1:H$65536)</f>
        <v>0</v>
      </c>
      <c r="AR30" s="84"/>
      <c r="AS30" s="76"/>
      <c r="AU30" s="76">
        <f t="shared" si="4"/>
        <v>5368.7392779794391</v>
      </c>
    </row>
    <row r="31" spans="1:47" x14ac:dyDescent="0.25">
      <c r="A31" s="77" t="s">
        <v>89</v>
      </c>
      <c r="B31" s="78">
        <v>286000</v>
      </c>
      <c r="C31" s="78"/>
      <c r="D31" s="78">
        <v>212</v>
      </c>
      <c r="E31" s="79"/>
      <c r="F31" s="80"/>
      <c r="G31" s="81">
        <f>SUMIF('[3]DEVOLVED AND DEL INC TRAIN'!B$1:B$65536,A31,'[3]DEVOLVED AND DEL INC TRAIN'!AA$1:AA$65536)/1000+SUMIF([3]REGION!B$1:B$65536,A31,[3]REGION!L$1:L$65536)/1000+SUMIF([3]CTU!B$1:B$65536,A31,[3]CTU!L$1:L$65536)/1000</f>
        <v>286.21199999999999</v>
      </c>
      <c r="H31" s="82"/>
      <c r="I31" s="83">
        <f>SUM('[3]DEVOLVED AND DEL INC TRAIN:OPCC'!O179:P180)/1000+SUM('[3]DEVOLVED AND DEL INC TRAIN:OPCC'!G179:K180)/1000</f>
        <v>0</v>
      </c>
      <c r="J31" s="84"/>
      <c r="K31" s="83">
        <f>SUM('[3]DEVOLVED AND DEL INC TRAIN:OPCC'!R179:U180)/1000</f>
        <v>-8.8230000000000004</v>
      </c>
      <c r="L31" s="84"/>
      <c r="M31" s="81">
        <f t="shared" si="5"/>
        <v>2.7738900000000002</v>
      </c>
      <c r="O31" s="76">
        <f t="shared" si="0"/>
        <v>280.16289</v>
      </c>
      <c r="Q31" s="83">
        <f>SUMIF([3]Adjustments!B$1:B$65536,A31,[3]Adjustments!E$1:E$65536)</f>
        <v>0</v>
      </c>
      <c r="R31" s="84"/>
      <c r="S31" s="85">
        <f>SUMIF([3]Savings!B$1:B$65536,A31,[3]Savings!E$1:E$65536)</f>
        <v>0</v>
      </c>
      <c r="T31" s="84"/>
      <c r="U31" s="81">
        <f t="shared" si="6"/>
        <v>5.6032578000000006</v>
      </c>
      <c r="W31" s="76">
        <f t="shared" si="1"/>
        <v>285.7661478</v>
      </c>
      <c r="Y31" s="85">
        <f>SUMIF([3]Adjustments!B$1:B$65536,A31,[3]Adjustments!F$1:F$65536)</f>
        <v>0</v>
      </c>
      <c r="Z31" s="84"/>
      <c r="AA31" s="85">
        <f>SUMIF([3]Savings!B$1:B$65536,A31,[3]Savings!F$1:F$65536)</f>
        <v>0</v>
      </c>
      <c r="AB31" s="84"/>
      <c r="AC31" s="81">
        <f t="shared" si="7"/>
        <v>5.7153229560000005</v>
      </c>
      <c r="AE31" s="76">
        <f t="shared" si="2"/>
        <v>291.48147075600002</v>
      </c>
      <c r="AG31" s="85">
        <f>SUMIF([3]Adjustments!B$1:B$65536,A31,[3]Adjustments!G$1:G$65536)</f>
        <v>0</v>
      </c>
      <c r="AH31" s="84"/>
      <c r="AI31" s="85">
        <f>SUMIF([3]Savings!B$1:B$65536,A31,[3]Savings!G$1:G$65536)</f>
        <v>0</v>
      </c>
      <c r="AJ31" s="84"/>
      <c r="AK31" s="81">
        <f t="shared" si="8"/>
        <v>5.8296294151200003</v>
      </c>
      <c r="AM31" s="76">
        <f t="shared" si="3"/>
        <v>297.31110017112002</v>
      </c>
      <c r="AO31" s="85">
        <f>SUMIF([3]Adjustments!B$1:B$65536,A31,[3]Adjustments!H$1:H$65536)</f>
        <v>0</v>
      </c>
      <c r="AP31" s="84"/>
      <c r="AQ31" s="85">
        <f>SUMIF([3]Savings!B$1:B$65536,A31,[3]Savings!H$1:H$65536)</f>
        <v>0</v>
      </c>
      <c r="AR31" s="84"/>
      <c r="AS31" s="76"/>
      <c r="AU31" s="76">
        <f t="shared" si="4"/>
        <v>297.31110017112002</v>
      </c>
    </row>
    <row r="32" spans="1:47" x14ac:dyDescent="0.25">
      <c r="A32" s="77" t="s">
        <v>90</v>
      </c>
      <c r="B32" s="78">
        <v>1248000</v>
      </c>
      <c r="C32" s="78"/>
      <c r="D32" s="78">
        <v>80556.420000000158</v>
      </c>
      <c r="E32" s="79"/>
      <c r="F32" s="80"/>
      <c r="G32" s="81">
        <f>SUMIF('[3]DEVOLVED AND DEL INC TRAIN'!B$1:B$65536,A32,'[3]DEVOLVED AND DEL INC TRAIN'!AA$1:AA$65536)/1000+SUMIF([3]REGION!B$1:B$65536,A32,[3]REGION!L$1:L$65536)/1000+SUMIF([3]CTU!B$1:B$65536,A32,[3]CTU!L$1:L$65536)/1000</f>
        <v>1328.5564200000001</v>
      </c>
      <c r="H32" s="82"/>
      <c r="I32" s="83">
        <f>SUM('[3]DEVOLVED AND DEL INC TRAIN:OPCC'!O173:P174)/1000+SUM('[3]DEVOLVED AND DEL INC TRAIN:OPCC'!O194:P195)/1000+SUM('[3]DEVOLVED AND DEL INC TRAIN:OPCC'!G173:K174)/1000+SUM('[3]DEVOLVED AND DEL INC TRAIN:OPCC'!G194:K195)/1000</f>
        <v>-73</v>
      </c>
      <c r="J32" s="84"/>
      <c r="K32" s="83">
        <f>SUM('[3]DEVOLVED AND DEL INC TRAIN:OPCC'!R173:U174)/1000+SUM('[3]DEVOLVED AND DEL INC TRAIN:OPCC'!R194:U195)/1000</f>
        <v>0.43299999999999983</v>
      </c>
      <c r="L32" s="84"/>
      <c r="M32" s="81">
        <f t="shared" si="5"/>
        <v>12.559894200000002</v>
      </c>
      <c r="O32" s="76">
        <f t="shared" si="0"/>
        <v>1268.5493142</v>
      </c>
      <c r="Q32" s="83">
        <f>SUMIF([3]Adjustments!B$1:B$65536,A32,[3]Adjustments!E$1:E$65536)</f>
        <v>-20</v>
      </c>
      <c r="R32" s="84"/>
      <c r="S32" s="85">
        <f>SUMIF([3]Savings!B$1:B$65536,A32,[3]Savings!E$1:E$65536)</f>
        <v>0</v>
      </c>
      <c r="T32" s="84"/>
      <c r="U32" s="81">
        <f t="shared" si="6"/>
        <v>24.970986284000002</v>
      </c>
      <c r="W32" s="76">
        <f t="shared" si="1"/>
        <v>1273.520300484</v>
      </c>
      <c r="Y32" s="85">
        <f>SUMIF([3]Adjustments!B$1:B$65536,A32,[3]Adjustments!F$1:F$65536)</f>
        <v>0</v>
      </c>
      <c r="Z32" s="84"/>
      <c r="AA32" s="85">
        <f>SUMIF([3]Savings!B$1:B$65536,A32,[3]Savings!F$1:F$65536)</f>
        <v>0</v>
      </c>
      <c r="AB32" s="84"/>
      <c r="AC32" s="81">
        <f t="shared" si="7"/>
        <v>25.470406009680001</v>
      </c>
      <c r="AE32" s="76">
        <f t="shared" si="2"/>
        <v>1298.9907064936799</v>
      </c>
      <c r="AG32" s="85">
        <f>SUMIF([3]Adjustments!B$1:B$65536,A32,[3]Adjustments!G$1:G$65536)</f>
        <v>0</v>
      </c>
      <c r="AH32" s="84"/>
      <c r="AI32" s="85">
        <f>SUMIF([3]Savings!B$1:B$65536,A32,[3]Savings!G$1:G$65536)</f>
        <v>0</v>
      </c>
      <c r="AJ32" s="84"/>
      <c r="AK32" s="81">
        <f t="shared" si="8"/>
        <v>25.979814129873599</v>
      </c>
      <c r="AM32" s="76">
        <f t="shared" si="3"/>
        <v>1324.9705206235535</v>
      </c>
      <c r="AO32" s="85">
        <f>SUMIF([3]Adjustments!B$1:B$65536,A32,[3]Adjustments!H$1:H$65536)</f>
        <v>0</v>
      </c>
      <c r="AP32" s="84"/>
      <c r="AQ32" s="85">
        <f>SUMIF([3]Savings!B$1:B$65536,A32,[3]Savings!H$1:H$65536)</f>
        <v>0</v>
      </c>
      <c r="AR32" s="84"/>
      <c r="AS32" s="76"/>
      <c r="AU32" s="76">
        <f t="shared" si="4"/>
        <v>1324.9705206235535</v>
      </c>
    </row>
    <row r="33" spans="1:47" x14ac:dyDescent="0.25">
      <c r="A33" s="77" t="s">
        <v>91</v>
      </c>
      <c r="B33" s="78">
        <v>10914000</v>
      </c>
      <c r="C33" s="78"/>
      <c r="D33" s="88">
        <v>-2837972.2500000009</v>
      </c>
      <c r="E33" s="79"/>
      <c r="F33" s="80"/>
      <c r="G33" s="81">
        <f>SUMIF('[3]DEVOLVED AND DEL INC TRAIN'!B$1:B$65536,A33,'[3]DEVOLVED AND DEL INC TRAIN'!AA$1:AA$65536)/1000+SUMIF([3]REGION!B$1:B$65536,A33,[3]REGION!L$1:L$65536)/1000+SUMIF([3]CTU!B$1:B$65536,A33,[3]CTU!L$1:L$65536)/1000</f>
        <v>8076.0277499999993</v>
      </c>
      <c r="H33" s="82"/>
      <c r="I33" s="83">
        <f>SUM('[3]DEVOLVED AND DEL INC TRAIN:OPCC'!O196:P214)/1000+SUM('[3]DEVOLVED AND DEL INC TRAIN:OPCC'!G196:K214)/1000</f>
        <v>-32.177999999999997</v>
      </c>
      <c r="J33" s="84"/>
      <c r="K33" s="83">
        <f>SUM('[3]DEVOLVED AND DEL INC TRAIN:OPCC'!R196:U214)/1000</f>
        <v>65.882000000000005</v>
      </c>
      <c r="L33" s="84"/>
      <c r="M33" s="81">
        <f t="shared" si="5"/>
        <v>81.097317499999988</v>
      </c>
      <c r="O33" s="76">
        <f t="shared" si="0"/>
        <v>8190.8290674999989</v>
      </c>
      <c r="Q33" s="83">
        <f>SUMIF([3]Adjustments!B$1:B$65536,A33,[3]Adjustments!E$1:E$65536)</f>
        <v>0</v>
      </c>
      <c r="R33" s="84"/>
      <c r="S33" s="85">
        <f>SUMIF([3]Savings!B$1:B$65536,A33,[3]Savings!E$1:E$65536)</f>
        <v>0</v>
      </c>
      <c r="T33" s="84"/>
      <c r="U33" s="81">
        <f t="shared" si="6"/>
        <v>163.81658134999998</v>
      </c>
      <c r="W33" s="76">
        <f t="shared" si="1"/>
        <v>8354.6456488499989</v>
      </c>
      <c r="Y33" s="85">
        <f>SUMIF([3]Adjustments!B$1:B$65536,A33,[3]Adjustments!F$1:F$65536)</f>
        <v>0</v>
      </c>
      <c r="Z33" s="84"/>
      <c r="AA33" s="85">
        <f>SUMIF([3]Savings!B$1:B$65536,A33,[3]Savings!F$1:F$65536)</f>
        <v>0</v>
      </c>
      <c r="AB33" s="84"/>
      <c r="AC33" s="81">
        <f t="shared" si="7"/>
        <v>167.09291297699997</v>
      </c>
      <c r="AE33" s="76">
        <f t="shared" si="2"/>
        <v>8521.7385618269982</v>
      </c>
      <c r="AG33" s="85">
        <f>SUMIF([3]Adjustments!B$1:B$65536,A33,[3]Adjustments!G$1:G$65536)</f>
        <v>0</v>
      </c>
      <c r="AH33" s="84"/>
      <c r="AI33" s="85">
        <f>SUMIF([3]Savings!B$1:B$65536,A33,[3]Savings!G$1:G$65536)</f>
        <v>0</v>
      </c>
      <c r="AJ33" s="84"/>
      <c r="AK33" s="81">
        <f t="shared" si="8"/>
        <v>170.43477123653997</v>
      </c>
      <c r="AM33" s="76">
        <f t="shared" si="3"/>
        <v>8692.1733330635379</v>
      </c>
      <c r="AO33" s="85">
        <f>SUMIF([3]Adjustments!B$1:B$65536,A33,[3]Adjustments!H$1:H$65536)</f>
        <v>0</v>
      </c>
      <c r="AP33" s="84"/>
      <c r="AQ33" s="85">
        <f>SUMIF([3]Savings!B$1:B$65536,A33,[3]Savings!H$1:H$65536)</f>
        <v>0</v>
      </c>
      <c r="AR33" s="84"/>
      <c r="AS33" s="76"/>
      <c r="AU33" s="76">
        <f t="shared" si="4"/>
        <v>8692.1733330635379</v>
      </c>
    </row>
    <row r="34" spans="1:47" x14ac:dyDescent="0.25">
      <c r="A34" s="77" t="s">
        <v>92</v>
      </c>
      <c r="B34" s="78">
        <v>13768000</v>
      </c>
      <c r="C34" s="78"/>
      <c r="D34" s="78">
        <v>-13028260</v>
      </c>
      <c r="E34" s="79"/>
      <c r="F34" s="80"/>
      <c r="G34" s="81">
        <f>SUMIF('[3]DEVOLVED AND DEL INC TRAIN'!B$1:B$65536,A34,'[3]DEVOLVED AND DEL INC TRAIN'!AA$1:AA$65536)/1000+SUMIF([3]REGION!B$1:B$65536,A34,[3]REGION!L$1:L$65536)/1000+SUMIF([3]CTU!B$1:B$65536,A34,[3]CTU!L$1:L$65536)/1000</f>
        <v>739.74</v>
      </c>
      <c r="H34" s="82"/>
      <c r="I34" s="83">
        <f>SUM('[3]DEVOLVED AND DEL INC TRAIN:OPCC'!O164:P164)/1000+SUM('[3]DEVOLVED AND DEL INC TRAIN:OPCC'!G164:K164)/1000</f>
        <v>457.76</v>
      </c>
      <c r="J34" s="84"/>
      <c r="K34" s="83">
        <f>SUM('[3]DEVOLVED AND DEL INC TRAIN:OPCC'!R164:U164)/1000</f>
        <v>0</v>
      </c>
      <c r="L34" s="84"/>
      <c r="M34" s="81">
        <f t="shared" si="5"/>
        <v>11.975</v>
      </c>
      <c r="O34" s="76">
        <f t="shared" si="0"/>
        <v>1209.4749999999999</v>
      </c>
      <c r="Q34" s="83">
        <f>SUMIF([3]Adjustments!B$1:B$65536,A34,[3]Adjustments!E$1:E$65536)</f>
        <v>0</v>
      </c>
      <c r="R34" s="84"/>
      <c r="S34" s="85">
        <f>SUMIF([3]Savings!B$1:B$65536,A34,[3]Savings!E$1:E$65536)</f>
        <v>0</v>
      </c>
      <c r="T34" s="84"/>
      <c r="U34" s="81">
        <f t="shared" si="6"/>
        <v>24.189499999999999</v>
      </c>
      <c r="W34" s="76">
        <f t="shared" si="1"/>
        <v>1233.6644999999999</v>
      </c>
      <c r="Y34" s="85">
        <f>SUMIF([3]Adjustments!B$1:B$65536,A34,[3]Adjustments!F$1:F$65536)</f>
        <v>0</v>
      </c>
      <c r="Z34" s="84"/>
      <c r="AA34" s="85">
        <f>SUMIF([3]Savings!B$1:B$65536,A34,[3]Savings!F$1:F$65536)</f>
        <v>0</v>
      </c>
      <c r="AB34" s="84"/>
      <c r="AC34" s="81">
        <f t="shared" si="7"/>
        <v>24.673289999999998</v>
      </c>
      <c r="AE34" s="76">
        <f t="shared" si="2"/>
        <v>1258.3377899999998</v>
      </c>
      <c r="AG34" s="85">
        <f>SUMIF([3]Adjustments!B$1:B$65536,A34,[3]Adjustments!G$1:G$65536)</f>
        <v>0</v>
      </c>
      <c r="AH34" s="84"/>
      <c r="AI34" s="85">
        <f>SUMIF([3]Savings!B$1:B$65536,A34,[3]Savings!G$1:G$65536)</f>
        <v>0</v>
      </c>
      <c r="AJ34" s="84"/>
      <c r="AK34" s="81">
        <f t="shared" si="8"/>
        <v>25.166755799999997</v>
      </c>
      <c r="AM34" s="76">
        <f t="shared" si="3"/>
        <v>1283.5045457999997</v>
      </c>
      <c r="AO34" s="85">
        <f>SUMIF([3]Adjustments!B$1:B$65536,A34,[3]Adjustments!H$1:H$65536)</f>
        <v>0</v>
      </c>
      <c r="AP34" s="84"/>
      <c r="AQ34" s="85">
        <f>SUMIF([3]Savings!B$1:B$65536,A34,[3]Savings!H$1:H$65536)</f>
        <v>0</v>
      </c>
      <c r="AR34" s="84"/>
      <c r="AS34" s="76"/>
      <c r="AU34" s="76">
        <f t="shared" si="4"/>
        <v>1283.5045457999997</v>
      </c>
    </row>
    <row r="35" spans="1:47" x14ac:dyDescent="0.25">
      <c r="A35" s="77" t="s">
        <v>93</v>
      </c>
      <c r="B35" s="78">
        <v>2061000</v>
      </c>
      <c r="C35" s="78"/>
      <c r="D35" s="88">
        <v>929162.55999999959</v>
      </c>
      <c r="E35" s="79"/>
      <c r="F35" s="80"/>
      <c r="G35" s="81">
        <f>SUMIF('[3]DEVOLVED AND DEL INC TRAIN'!B$1:B$65536,A35,'[3]DEVOLVED AND DEL INC TRAIN'!AA$1:AA$65536)/1000+SUMIF([3]REGION!B$1:B$65536,A35,[3]REGION!L$1:L$65536)/1000+SUMIF([3]CTU!B$1:B$65536,A35,[3]CTU!L$1:L$65536)/1000</f>
        <v>2186.4775599999998</v>
      </c>
      <c r="H35" s="82"/>
      <c r="I35" s="83">
        <f>SUM('[3]DEVOLVED AND DEL INC TRAIN:OPCC'!O130:P137)/1000+SUM('[3]DEVOLVED AND DEL INC TRAIN:OPCC'!O104:P125)/1000+SUM('[3]DEVOLVED AND DEL INC TRAIN:OPCC'!G130:K137)/1000+SUM('[3]DEVOLVED AND DEL INC TRAIN:OPCC'!G104:K125)/1000</f>
        <v>-206.941</v>
      </c>
      <c r="J35" s="84"/>
      <c r="K35" s="83">
        <f>SUM('[3]DEVOLVED AND DEL INC TRAIN:OPCC'!R130:U137)/1000+SUM('[3]DEVOLVED AND DEL INC TRAIN:OPCC'!R104:U125)/1000</f>
        <v>-24.959999999999997</v>
      </c>
      <c r="L35" s="84"/>
      <c r="M35" s="81">
        <f t="shared" si="5"/>
        <v>19.545765599999999</v>
      </c>
      <c r="O35" s="76">
        <f t="shared" si="0"/>
        <v>1974.1223255999998</v>
      </c>
      <c r="Q35" s="83">
        <f>SUMIF([3]Adjustments!B$1:B$65536,A35,[3]Adjustments!E$1:E$65536)</f>
        <v>0</v>
      </c>
      <c r="R35" s="84"/>
      <c r="S35" s="85">
        <f>SUMIF([3]Savings!B$1:B$65536,A35,[3]Savings!E$1:E$65536)</f>
        <v>0</v>
      </c>
      <c r="T35" s="84"/>
      <c r="U35" s="81">
        <f t="shared" si="6"/>
        <v>39.482446511999996</v>
      </c>
      <c r="W35" s="76">
        <f t="shared" si="1"/>
        <v>2013.6047721119999</v>
      </c>
      <c r="Y35" s="85">
        <f>SUMIF([3]Adjustments!B$1:B$65536,A35,[3]Adjustments!F$1:F$65536)</f>
        <v>0</v>
      </c>
      <c r="Z35" s="84"/>
      <c r="AA35" s="85">
        <f>SUMIF([3]Savings!B$1:B$65536,A35,[3]Savings!F$1:F$65536)</f>
        <v>0</v>
      </c>
      <c r="AB35" s="84"/>
      <c r="AC35" s="81">
        <f t="shared" si="7"/>
        <v>40.272095442240001</v>
      </c>
      <c r="AE35" s="76">
        <f t="shared" si="2"/>
        <v>2053.8768675542397</v>
      </c>
      <c r="AG35" s="85">
        <f>SUMIF([3]Adjustments!B$1:B$65536,A35,[3]Adjustments!G$1:G$65536)</f>
        <v>0</v>
      </c>
      <c r="AH35" s="84"/>
      <c r="AI35" s="85">
        <f>SUMIF([3]Savings!B$1:B$65536,A35,[3]Savings!G$1:G$65536)</f>
        <v>0</v>
      </c>
      <c r="AJ35" s="84"/>
      <c r="AK35" s="81">
        <f t="shared" si="8"/>
        <v>41.077537351084793</v>
      </c>
      <c r="AM35" s="76">
        <f t="shared" si="3"/>
        <v>2094.9544049053243</v>
      </c>
      <c r="AO35" s="85">
        <f>SUMIF([3]Adjustments!B$1:B$65536,A35,[3]Adjustments!H$1:H$65536)</f>
        <v>0</v>
      </c>
      <c r="AP35" s="84"/>
      <c r="AQ35" s="85">
        <f>SUMIF([3]Savings!B$1:B$65536,A35,[3]Savings!H$1:H$65536)</f>
        <v>0</v>
      </c>
      <c r="AR35" s="84"/>
      <c r="AS35" s="76"/>
      <c r="AU35" s="76">
        <f t="shared" si="4"/>
        <v>2094.9544049053243</v>
      </c>
    </row>
    <row r="36" spans="1:47" x14ac:dyDescent="0.25">
      <c r="A36" s="77" t="s">
        <v>94</v>
      </c>
      <c r="B36" s="78">
        <v>1217000</v>
      </c>
      <c r="C36" s="78"/>
      <c r="D36" s="88">
        <v>-206356</v>
      </c>
      <c r="E36" s="79"/>
      <c r="F36" s="80"/>
      <c r="G36" s="81">
        <f>SUMIF('[3]DEVOLVED AND DEL INC TRAIN'!B$1:B$65536,A36,'[3]DEVOLVED AND DEL INC TRAIN'!AA$1:AA$65536)/1000+SUMIF([3]REGION!B$1:B$65536,A36,[3]REGION!L$1:L$65536)/1000+SUMIF([3]CTU!B$1:B$65536,A36,[3]CTU!L$1:L$65536)/1000</f>
        <v>1814.329</v>
      </c>
      <c r="H36" s="82"/>
      <c r="I36" s="83">
        <f>SUM('[3]DEVOLVED AND DEL INC TRAIN:OPCC'!O126:P129)/1000+SUM('[3]DEVOLVED AND DEL INC TRAIN:OPCC'!G126:K129)/1000</f>
        <v>-12.371</v>
      </c>
      <c r="J36" s="84"/>
      <c r="K36" s="83">
        <f>SUM('[3]DEVOLVED AND DEL INC TRAIN:OPCC'!R126:U129)/1000</f>
        <v>-58.965000000000003</v>
      </c>
      <c r="L36" s="84"/>
      <c r="M36" s="81">
        <f t="shared" si="5"/>
        <v>17.429929999999999</v>
      </c>
      <c r="O36" s="76">
        <f t="shared" si="0"/>
        <v>1760.42293</v>
      </c>
      <c r="Q36" s="83">
        <f>SUMIF([3]Adjustments!B$1:B$65536,A36,[3]Adjustments!E$1:E$65536)</f>
        <v>0</v>
      </c>
      <c r="R36" s="84"/>
      <c r="S36" s="85">
        <f>SUMIF([3]Savings!B$1:B$65536,A36,[3]Savings!E$1:E$65536)</f>
        <v>0</v>
      </c>
      <c r="T36" s="84"/>
      <c r="U36" s="81">
        <f t="shared" si="6"/>
        <v>35.2084586</v>
      </c>
      <c r="W36" s="76">
        <f t="shared" si="1"/>
        <v>1795.6313886</v>
      </c>
      <c r="Y36" s="85">
        <f>SUMIF([3]Adjustments!B$1:B$65536,A36,[3]Adjustments!F$1:F$65536)</f>
        <v>0</v>
      </c>
      <c r="Z36" s="84"/>
      <c r="AA36" s="85">
        <f>SUMIF([3]Savings!B$1:B$65536,A36,[3]Savings!F$1:F$65536)</f>
        <v>0</v>
      </c>
      <c r="AB36" s="84"/>
      <c r="AC36" s="81">
        <f t="shared" si="7"/>
        <v>35.912627772</v>
      </c>
      <c r="AE36" s="76">
        <f>SUM(W36:AC36)</f>
        <v>1831.544016372</v>
      </c>
      <c r="AG36" s="85">
        <f>SUMIF([3]Adjustments!B$1:B$65536,A36,[3]Adjustments!G$1:G$65536)</f>
        <v>0</v>
      </c>
      <c r="AH36" s="84"/>
      <c r="AI36" s="85">
        <f>SUMIF([3]Savings!B$1:B$65536,A36,[3]Savings!G$1:G$65536)</f>
        <v>0</v>
      </c>
      <c r="AJ36" s="84"/>
      <c r="AK36" s="81">
        <f t="shared" si="8"/>
        <v>36.630880327440003</v>
      </c>
      <c r="AM36" s="76">
        <f>SUM(AE36:AK36)</f>
        <v>1868.1748966994401</v>
      </c>
      <c r="AO36" s="85">
        <f>SUMIF([3]Adjustments!B$1:B$65536,A36,[3]Adjustments!H$1:H$65536)</f>
        <v>0</v>
      </c>
      <c r="AP36" s="84"/>
      <c r="AQ36" s="85">
        <f>SUMIF([3]Savings!B$1:B$65536,A36,[3]Savings!H$1:H$65536)</f>
        <v>0</v>
      </c>
      <c r="AR36" s="84"/>
      <c r="AS36" s="76"/>
      <c r="AU36" s="76">
        <f>SUM(AM36:AS36)</f>
        <v>1868.1748966994401</v>
      </c>
    </row>
    <row r="37" spans="1:47" x14ac:dyDescent="0.25">
      <c r="A37" s="77" t="s">
        <v>95</v>
      </c>
      <c r="B37" s="78">
        <v>544000</v>
      </c>
      <c r="C37" s="78"/>
      <c r="D37" s="78">
        <v>485663.54000000004</v>
      </c>
      <c r="E37" s="79"/>
      <c r="F37" s="80"/>
      <c r="G37" s="81">
        <f>SUMIF('[3]DEVOLVED AND DEL INC TRAIN'!B$1:B$65536,A37,'[3]DEVOLVED AND DEL INC TRAIN'!AA$1:AA$65536)/1000+SUMIF([3]REGION!B$1:B$65536,A37,[3]REGION!L$1:L$65536)/1000+SUMIF([3]CTU!B$1:B$65536,A37,[3]CTU!L$1:L$65536)/1000</f>
        <v>1029.66354</v>
      </c>
      <c r="H37" s="82"/>
      <c r="I37" s="83">
        <f>SUM('[3]DEVOLVED AND DEL INC TRAIN:OPCC'!O138:P144)/1000+SUM('[3]DEVOLVED AND DEL INC TRAIN:OPCC'!G138:K144)/1000</f>
        <v>62.622999999999998</v>
      </c>
      <c r="J37" s="84"/>
      <c r="K37" s="83">
        <f>SUM('[3]DEVOLVED AND DEL INC TRAIN:OPCC'!R138:U144)/1000</f>
        <v>44.502000000000002</v>
      </c>
      <c r="L37" s="84"/>
      <c r="M37" s="81">
        <f t="shared" si="5"/>
        <v>11.3678854</v>
      </c>
      <c r="O37" s="76">
        <f t="shared" si="0"/>
        <v>1148.1564254</v>
      </c>
      <c r="Q37" s="83">
        <f>SUMIF([3]Adjustments!B$1:B$65536,A37,[3]Adjustments!E$1:E$65536)</f>
        <v>0</v>
      </c>
      <c r="R37" s="84"/>
      <c r="S37" s="85">
        <f>SUMIF([3]Savings!B$1:B$65536,A37,[3]Savings!E$1:E$65536)</f>
        <v>0</v>
      </c>
      <c r="T37" s="84"/>
      <c r="U37" s="81">
        <f t="shared" si="6"/>
        <v>22.963128508</v>
      </c>
      <c r="W37" s="76">
        <f t="shared" si="1"/>
        <v>1171.1195539079999</v>
      </c>
      <c r="Y37" s="85">
        <f>SUMIF([3]Adjustments!B$1:B$65536,A37,[3]Adjustments!F$1:F$65536)</f>
        <v>0</v>
      </c>
      <c r="Z37" s="84"/>
      <c r="AA37" s="85">
        <f>SUMIF([3]Savings!B$1:B$65536,A37,[3]Savings!F$1:F$65536)</f>
        <v>0</v>
      </c>
      <c r="AB37" s="84"/>
      <c r="AC37" s="81">
        <f t="shared" si="7"/>
        <v>23.42239107816</v>
      </c>
      <c r="AE37" s="76">
        <f t="shared" si="2"/>
        <v>1194.5419449861599</v>
      </c>
      <c r="AG37" s="85">
        <f>SUMIF([3]Adjustments!B$1:B$65536,A37,[3]Adjustments!G$1:G$65536)</f>
        <v>0</v>
      </c>
      <c r="AH37" s="84"/>
      <c r="AI37" s="85">
        <f>SUMIF([3]Savings!B$1:B$65536,A37,[3]Savings!G$1:G$65536)</f>
        <v>0</v>
      </c>
      <c r="AJ37" s="84"/>
      <c r="AK37" s="81">
        <f t="shared" si="8"/>
        <v>23.8908388997232</v>
      </c>
      <c r="AM37" s="76">
        <f t="shared" si="3"/>
        <v>1218.4327838858831</v>
      </c>
      <c r="AO37" s="85">
        <f>SUMIF([3]Adjustments!B$1:B$65536,A37,[3]Adjustments!H$1:H$65536)</f>
        <v>0</v>
      </c>
      <c r="AP37" s="84"/>
      <c r="AQ37" s="85">
        <f>SUMIF([3]Savings!B$1:B$65536,A37,[3]Savings!H$1:H$65536)</f>
        <v>0</v>
      </c>
      <c r="AR37" s="84"/>
      <c r="AS37" s="76"/>
      <c r="AU37" s="76">
        <f t="shared" si="4"/>
        <v>1218.4327838858831</v>
      </c>
    </row>
    <row r="38" spans="1:47" x14ac:dyDescent="0.25">
      <c r="A38" s="77" t="s">
        <v>96</v>
      </c>
      <c r="B38" s="78">
        <v>175000</v>
      </c>
      <c r="C38" s="78"/>
      <c r="D38" s="78">
        <v>-3000</v>
      </c>
      <c r="E38" s="79"/>
      <c r="F38" s="80"/>
      <c r="G38" s="81">
        <f>SUMIF('[3]DEVOLVED AND DEL INC TRAIN'!B$1:B$65536,A38,'[3]DEVOLVED AND DEL INC TRAIN'!AA$1:AA$65536)/1000+SUMIF([3]REGION!B$1:B$65536,A38,[3]REGION!L$1:L$65536)/1000+SUMIF([3]CTU!B$1:B$65536,A38,[3]CTU!L$1:L$65536)/1000</f>
        <v>172</v>
      </c>
      <c r="H38" s="82"/>
      <c r="I38" s="83">
        <f>SUM('[3]DEVOLVED AND DEL INC TRAIN:OPCC'!O145:P145)/1000+SUM('[3]DEVOLVED AND DEL INC TRAIN:OPCC'!G145:K145)/1000</f>
        <v>0</v>
      </c>
      <c r="J38" s="84"/>
      <c r="K38" s="83">
        <f>SUM('[3]DEVOLVED AND DEL INC TRAIN:OPCC'!R145:U145)/1000</f>
        <v>-0.435</v>
      </c>
      <c r="L38" s="84"/>
      <c r="M38" s="81">
        <f t="shared" si="5"/>
        <v>1.7156500000000001</v>
      </c>
      <c r="O38" s="76">
        <f t="shared" si="0"/>
        <v>173.28065000000001</v>
      </c>
      <c r="Q38" s="83">
        <f>SUMIF([3]Adjustments!B$1:B$65536,A38,[3]Adjustments!E$1:E$65536)</f>
        <v>0</v>
      </c>
      <c r="R38" s="84"/>
      <c r="S38" s="85">
        <f>SUMIF([3]Savings!B$1:B$65536,A38,[3]Savings!E$1:E$65536)</f>
        <v>0</v>
      </c>
      <c r="T38" s="84"/>
      <c r="U38" s="81">
        <f t="shared" si="6"/>
        <v>3.4656130000000003</v>
      </c>
      <c r="W38" s="76">
        <f t="shared" si="1"/>
        <v>176.746263</v>
      </c>
      <c r="Y38" s="85">
        <f>SUMIF([3]Adjustments!B$1:B$65536,A38,[3]Adjustments!F$1:F$65536)</f>
        <v>0</v>
      </c>
      <c r="Z38" s="84"/>
      <c r="AA38" s="85">
        <f>SUMIF([3]Savings!B$1:B$65536,A38,[3]Savings!F$1:F$65536)</f>
        <v>0</v>
      </c>
      <c r="AB38" s="84"/>
      <c r="AC38" s="81">
        <f t="shared" si="7"/>
        <v>3.5349252600000001</v>
      </c>
      <c r="AE38" s="76">
        <f t="shared" si="2"/>
        <v>180.28118825999999</v>
      </c>
      <c r="AG38" s="85">
        <f>SUMIF([3]Adjustments!B$1:B$65536,A38,[3]Adjustments!G$1:G$65536)</f>
        <v>0</v>
      </c>
      <c r="AH38" s="84"/>
      <c r="AI38" s="85">
        <f>SUMIF([3]Savings!B$1:B$65536,A38,[3]Savings!G$1:G$65536)</f>
        <v>0</v>
      </c>
      <c r="AJ38" s="84"/>
      <c r="AK38" s="81">
        <f t="shared" si="8"/>
        <v>3.6056237651999998</v>
      </c>
      <c r="AM38" s="76">
        <f t="shared" si="3"/>
        <v>183.88681202519999</v>
      </c>
      <c r="AO38" s="85">
        <f>SUMIF([3]Adjustments!B$1:B$65536,A38,[3]Adjustments!H$1:H$65536)</f>
        <v>0</v>
      </c>
      <c r="AP38" s="84"/>
      <c r="AQ38" s="85">
        <f>SUMIF([3]Savings!B$1:B$65536,A38,[3]Savings!H$1:H$65536)</f>
        <v>0</v>
      </c>
      <c r="AR38" s="84"/>
      <c r="AS38" s="76"/>
      <c r="AU38" s="76">
        <f t="shared" si="4"/>
        <v>183.88681202519999</v>
      </c>
    </row>
    <row r="39" spans="1:47" x14ac:dyDescent="0.25">
      <c r="A39" s="77" t="s">
        <v>97</v>
      </c>
      <c r="B39" s="78">
        <v>1067000</v>
      </c>
      <c r="C39" s="78"/>
      <c r="D39" s="78">
        <v>-392000</v>
      </c>
      <c r="E39" s="79"/>
      <c r="F39" s="80"/>
      <c r="G39" s="81">
        <f>SUMIF('[3]DEVOLVED AND DEL INC TRAIN'!B$1:B$65536,A39,'[3]DEVOLVED AND DEL INC TRAIN'!AA$1:AA$65536)/1000+SUMIF([3]REGION!B$1:B$65536,A39,[3]REGION!L$1:L$65536)/1000+SUMIF([3]CTU!B$1:B$65536,A39,[3]CTU!L$1:L$65536)/1000</f>
        <v>675</v>
      </c>
      <c r="H39" s="82"/>
      <c r="I39" s="83">
        <f>SUM('[3]DEVOLVED AND DEL INC TRAIN:OPCC'!O157:P157)/1000+SUM('[3]DEVOLVED AND DEL INC TRAIN:OPCC'!G157:K157)/1000</f>
        <v>-7</v>
      </c>
      <c r="J39" s="84"/>
      <c r="K39" s="83">
        <f>SUM('[3]DEVOLVED AND DEL INC TRAIN:OPCC'!R157:U157)/1000</f>
        <v>276.51</v>
      </c>
      <c r="L39" s="84"/>
      <c r="M39" s="81">
        <f t="shared" si="5"/>
        <v>9.4451000000000001</v>
      </c>
      <c r="O39" s="76">
        <f t="shared" si="0"/>
        <v>953.95510000000002</v>
      </c>
      <c r="Q39" s="83">
        <f>SUMIF([3]Adjustments!B$1:B$65536,A39,[3]Adjustments!E$1:E$65536)</f>
        <v>0</v>
      </c>
      <c r="R39" s="84"/>
      <c r="S39" s="85">
        <f>SUMIF([3]Savings!B$1:B$65536,A39,[3]Savings!E$1:E$65536)</f>
        <v>0</v>
      </c>
      <c r="T39" s="84"/>
      <c r="U39" s="81">
        <f t="shared" si="6"/>
        <v>19.079102000000002</v>
      </c>
      <c r="W39" s="76">
        <f t="shared" si="1"/>
        <v>973.03420200000005</v>
      </c>
      <c r="Y39" s="85">
        <f>SUMIF([3]Adjustments!B$1:B$65536,A39,[3]Adjustments!F$1:F$65536)</f>
        <v>0</v>
      </c>
      <c r="Z39" s="84"/>
      <c r="AA39" s="85">
        <f>SUMIF([3]Savings!B$1:B$65536,A39,[3]Savings!F$1:F$65536)</f>
        <v>0</v>
      </c>
      <c r="AB39" s="84"/>
      <c r="AC39" s="81">
        <f t="shared" si="7"/>
        <v>19.46068404</v>
      </c>
      <c r="AE39" s="76">
        <f t="shared" si="2"/>
        <v>992.4948860400001</v>
      </c>
      <c r="AG39" s="85">
        <f>SUMIF([3]Adjustments!B$1:B$65536,A39,[3]Adjustments!G$1:G$65536)</f>
        <v>0</v>
      </c>
      <c r="AH39" s="84"/>
      <c r="AI39" s="85">
        <f>SUMIF([3]Savings!B$1:B$65536,A39,[3]Savings!G$1:G$65536)</f>
        <v>0</v>
      </c>
      <c r="AJ39" s="84"/>
      <c r="AK39" s="81">
        <f t="shared" si="8"/>
        <v>19.849897720800001</v>
      </c>
      <c r="AM39" s="76">
        <f t="shared" si="3"/>
        <v>1012.3447837608001</v>
      </c>
      <c r="AO39" s="85">
        <f>SUMIF([3]Adjustments!B$1:B$65536,A39,[3]Adjustments!H$1:H$65536)</f>
        <v>0</v>
      </c>
      <c r="AP39" s="84"/>
      <c r="AQ39" s="85">
        <f>SUMIF([3]Savings!B$1:B$65536,A39,[3]Savings!H$1:H$65536)</f>
        <v>0</v>
      </c>
      <c r="AR39" s="84"/>
      <c r="AS39" s="76"/>
      <c r="AU39" s="76">
        <f t="shared" si="4"/>
        <v>1012.3447837608001</v>
      </c>
    </row>
    <row r="40" spans="1:47" x14ac:dyDescent="0.25">
      <c r="A40" s="77" t="s">
        <v>98</v>
      </c>
      <c r="B40" s="78">
        <v>2753000</v>
      </c>
      <c r="C40" s="78"/>
      <c r="D40" s="78">
        <v>137953</v>
      </c>
      <c r="E40" s="79"/>
      <c r="F40" s="80"/>
      <c r="G40" s="81">
        <f>SUMIF('[3]DEVOLVED AND DEL INC TRAIN'!B$1:B$65536,A40,'[3]DEVOLVED AND DEL INC TRAIN'!AA$1:AA$65536)/1000+SUMIF([3]REGION!B$1:B$65536,A40,[3]REGION!L$1:L$65536)/1000+SUMIF([3]CTU!B$1:B$65536,A40,[3]CTU!L$1:L$65536)/1000</f>
        <v>2890.953</v>
      </c>
      <c r="H40" s="82"/>
      <c r="I40" s="83">
        <f>SUM('[3]DEVOLVED AND DEL INC TRAIN:OPCC'!O181:P186)/1000+SUM('[3]DEVOLVED AND DEL INC TRAIN:OPCC'!G181:K186)/1000</f>
        <v>-369.89</v>
      </c>
      <c r="J40" s="84"/>
      <c r="K40" s="83">
        <f>SUM('[3]DEVOLVED AND DEL INC TRAIN:OPCC'!R181:U186)/1000</f>
        <v>-488.55</v>
      </c>
      <c r="L40" s="84"/>
      <c r="M40" s="81">
        <f t="shared" si="5"/>
        <v>20.325130000000001</v>
      </c>
      <c r="O40" s="76">
        <f t="shared" si="0"/>
        <v>2052.8381300000001</v>
      </c>
      <c r="Q40" s="83">
        <f>SUMIF([3]Adjustments!B$1:B$65536,A40,[3]Adjustments!E$1:E$65536)</f>
        <v>0</v>
      </c>
      <c r="R40" s="84"/>
      <c r="S40" s="85">
        <f>SUMIF([3]Savings!B$1:B$65536,A40,[3]Savings!E$1:E$65536)</f>
        <v>0</v>
      </c>
      <c r="T40" s="84"/>
      <c r="U40" s="81">
        <f t="shared" si="6"/>
        <v>41.056762600000006</v>
      </c>
      <c r="W40" s="76">
        <f t="shared" si="1"/>
        <v>2093.8948926000003</v>
      </c>
      <c r="Y40" s="85">
        <f>SUMIF([3]Adjustments!B$1:B$65536,A40,[3]Adjustments!F$1:F$65536)</f>
        <v>0</v>
      </c>
      <c r="Z40" s="84"/>
      <c r="AA40" s="85">
        <f>SUMIF([3]Savings!B$1:B$65536,A40,[3]Savings!F$1:F$65536)</f>
        <v>0</v>
      </c>
      <c r="AB40" s="84"/>
      <c r="AC40" s="81">
        <f t="shared" si="7"/>
        <v>41.877897852000004</v>
      </c>
      <c r="AE40" s="76">
        <f t="shared" si="2"/>
        <v>2135.7727904520002</v>
      </c>
      <c r="AG40" s="85">
        <f>SUMIF([3]Adjustments!B$1:B$65536,A40,[3]Adjustments!G$1:G$65536)</f>
        <v>0</v>
      </c>
      <c r="AH40" s="84"/>
      <c r="AI40" s="85">
        <f>SUMIF([3]Savings!B$1:B$65536,A40,[3]Savings!G$1:G$65536)</f>
        <v>0</v>
      </c>
      <c r="AJ40" s="84"/>
      <c r="AK40" s="81">
        <f t="shared" si="8"/>
        <v>42.715455809040002</v>
      </c>
      <c r="AM40" s="76">
        <f t="shared" si="3"/>
        <v>2178.4882462610403</v>
      </c>
      <c r="AO40" s="85">
        <f>SUMIF([3]Adjustments!B$1:B$65536,A40,[3]Adjustments!H$1:H$65536)</f>
        <v>0</v>
      </c>
      <c r="AP40" s="84"/>
      <c r="AQ40" s="85">
        <f>SUMIF([3]Savings!B$1:B$65536,A40,[3]Savings!H$1:H$65536)</f>
        <v>0</v>
      </c>
      <c r="AR40" s="84"/>
      <c r="AS40" s="76"/>
      <c r="AU40" s="76">
        <f t="shared" si="4"/>
        <v>2178.4882462610403</v>
      </c>
    </row>
    <row r="41" spans="1:47" x14ac:dyDescent="0.25">
      <c r="A41" s="77" t="s">
        <v>99</v>
      </c>
      <c r="B41" s="78">
        <v>1668000</v>
      </c>
      <c r="C41" s="78"/>
      <c r="D41" s="78">
        <v>-1438921</v>
      </c>
      <c r="E41" s="79"/>
      <c r="F41" s="80"/>
      <c r="G41" s="81">
        <f>SUMIF('[3]DEVOLVED AND DEL INC TRAIN'!B$1:B$65536,A41,'[3]DEVOLVED AND DEL INC TRAIN'!AA$1:AA$65536)/1000+SUMIF([3]REGION!B$1:B$65536,A41,[3]REGION!L$1:L$65536)/1000+SUMIF([3]CTU!B$1:B$65536,A41,[3]CTU!L$1:L$65536)/1000</f>
        <v>229.07900000000001</v>
      </c>
      <c r="H41" s="82"/>
      <c r="I41" s="83">
        <f>SUM('[3]DEVOLVED AND DEL INC TRAIN:OPCC'!O187:P188)/1000+SUM('[3]DEVOLVED AND DEL INC TRAIN:OPCC'!G187:K188)/1000</f>
        <v>-18.818999999999999</v>
      </c>
      <c r="J41" s="84"/>
      <c r="K41" s="83">
        <f>SUM('[3]DEVOLVED AND DEL INC TRAIN:OPCC'!R187:U188)/1000</f>
        <v>-70.260000000000005</v>
      </c>
      <c r="L41" s="84"/>
      <c r="M41" s="81">
        <f t="shared" si="5"/>
        <v>1.4000000000000001</v>
      </c>
      <c r="O41" s="76">
        <f>SUM(G41:M41)</f>
        <v>141.4</v>
      </c>
      <c r="Q41" s="83">
        <f>SUMIF([3]Adjustments!B$1:B$65536,A41,[3]Adjustments!E$1:E$65536)</f>
        <v>0</v>
      </c>
      <c r="R41" s="84"/>
      <c r="S41" s="85">
        <f>SUMIF([3]Savings!B$1:B$65536,A41,[3]Savings!E$1:E$65536)</f>
        <v>0</v>
      </c>
      <c r="T41" s="84"/>
      <c r="U41" s="81">
        <f t="shared" si="6"/>
        <v>2.8280000000000003</v>
      </c>
      <c r="W41" s="76">
        <f>SUM(O41:U41)</f>
        <v>144.22800000000001</v>
      </c>
      <c r="Y41" s="85">
        <f>SUMIF([3]Adjustments!B$1:B$65536,A41,[3]Adjustments!F$1:F$65536)</f>
        <v>0</v>
      </c>
      <c r="Z41" s="84"/>
      <c r="AA41" s="85">
        <f>SUMIF([3]Savings!B$1:B$65536,A41,[3]Savings!F$1:F$65536)</f>
        <v>0</v>
      </c>
      <c r="AB41" s="84"/>
      <c r="AC41" s="81">
        <f t="shared" si="7"/>
        <v>2.88456</v>
      </c>
      <c r="AE41" s="76">
        <f>SUM(W41:AC41)</f>
        <v>147.11256</v>
      </c>
      <c r="AG41" s="85">
        <f>SUMIF([3]Adjustments!B$1:B$65536,A41,[3]Adjustments!G$1:G$65536)</f>
        <v>537</v>
      </c>
      <c r="AH41" s="84"/>
      <c r="AI41" s="85">
        <f>SUMIF([3]Savings!B$1:B$65536,A41,[3]Savings!G$1:G$65536)</f>
        <v>0</v>
      </c>
      <c r="AJ41" s="84"/>
      <c r="AK41" s="81">
        <f t="shared" si="8"/>
        <v>13.682251200000001</v>
      </c>
      <c r="AM41" s="76">
        <f>SUM(AE41:AK41)</f>
        <v>697.79481120000003</v>
      </c>
      <c r="AO41" s="85">
        <f>SUMIF([3]Adjustments!B$1:B$65536,A41,[3]Adjustments!H$1:H$65536)</f>
        <v>-537</v>
      </c>
      <c r="AP41" s="84"/>
      <c r="AQ41" s="85">
        <f>SUMIF([3]Savings!B$1:B$65536,A41,[3]Savings!H$1:H$65536)</f>
        <v>0</v>
      </c>
      <c r="AR41" s="84"/>
      <c r="AS41" s="76"/>
      <c r="AU41" s="76">
        <f>SUM(AM41:AS41)</f>
        <v>160.79481120000003</v>
      </c>
    </row>
    <row r="42" spans="1:47" x14ac:dyDescent="0.25">
      <c r="A42" s="77" t="s">
        <v>100</v>
      </c>
      <c r="B42" s="78">
        <v>126000</v>
      </c>
      <c r="C42" s="78"/>
      <c r="D42" s="78">
        <v>1549860</v>
      </c>
      <c r="E42" s="79"/>
      <c r="F42" s="80"/>
      <c r="G42" s="81">
        <f>SUMIF('[3]DEVOLVED AND DEL INC TRAIN'!B$1:B$65536,A42,'[3]DEVOLVED AND DEL INC TRAIN'!AA$1:AA$65536)/1000+SUMIF([3]REGION!B$1:B$65536,A42,[3]REGION!L$1:L$65536)/1000+SUMIF([3]CTU!B$1:B$65536,A42,[3]CTU!L$1:L$65536)/1000</f>
        <v>1675.86</v>
      </c>
      <c r="H42" s="82"/>
      <c r="I42" s="83">
        <f>SUM('[3]DEVOLVED AND DEL INC TRAIN:OPCC'!O215:P215)/1000+SUM('[3]DEVOLVED AND DEL INC TRAIN:OPCC'!G215:K215)/1000</f>
        <v>300</v>
      </c>
      <c r="J42" s="84"/>
      <c r="K42" s="83">
        <f>SUM('[3]DEVOLVED AND DEL INC TRAIN:OPCC'!R215:U215)/1000</f>
        <v>0</v>
      </c>
      <c r="L42" s="84"/>
      <c r="M42" s="81">
        <f t="shared" si="5"/>
        <v>19.758599999999998</v>
      </c>
      <c r="O42" s="76">
        <f t="shared" si="0"/>
        <v>1995.6185999999998</v>
      </c>
      <c r="Q42" s="83">
        <f>SUMIF([3]Adjustments!B$1:B$65536,A42,[3]Adjustments!E$1:E$65536)</f>
        <v>0</v>
      </c>
      <c r="R42" s="84"/>
      <c r="S42" s="85">
        <f>SUMIF([3]Savings!B$1:B$65536,A42,[3]Savings!E$1:E$65536)</f>
        <v>0</v>
      </c>
      <c r="T42" s="84"/>
      <c r="U42" s="81">
        <f t="shared" si="6"/>
        <v>39.912371999999998</v>
      </c>
      <c r="W42" s="76">
        <f>SUM(O42:U42)</f>
        <v>2035.5309719999998</v>
      </c>
      <c r="Y42" s="85">
        <f>SUMIF([3]Adjustments!B$1:B$65536,A42,[3]Adjustments!F$1:F$65536)</f>
        <v>0</v>
      </c>
      <c r="Z42" s="84"/>
      <c r="AA42" s="85">
        <f>SUMIF([3]Savings!B$1:B$65536,A42,[3]Savings!F$1:F$65536)</f>
        <v>0</v>
      </c>
      <c r="AB42" s="84"/>
      <c r="AC42" s="81">
        <f t="shared" si="7"/>
        <v>40.710619439999995</v>
      </c>
      <c r="AE42" s="76">
        <f t="shared" si="2"/>
        <v>2076.2415914399999</v>
      </c>
      <c r="AG42" s="85">
        <f>SUMIF([3]Adjustments!B$1:B$65536,A42,[3]Adjustments!G$1:G$65536)</f>
        <v>0</v>
      </c>
      <c r="AH42" s="84"/>
      <c r="AI42" s="85">
        <f>SUMIF([3]Savings!B$1:B$65536,A42,[3]Savings!G$1:G$65536)</f>
        <v>0</v>
      </c>
      <c r="AJ42" s="84"/>
      <c r="AK42" s="81">
        <f t="shared" si="8"/>
        <v>41.524831828799996</v>
      </c>
      <c r="AM42" s="76">
        <f t="shared" si="3"/>
        <v>2117.7664232687998</v>
      </c>
      <c r="AO42" s="85">
        <f>SUMIF([3]Adjustments!B$1:B$65536,A42,[3]Adjustments!H$1:H$65536)</f>
        <v>0</v>
      </c>
      <c r="AP42" s="84"/>
      <c r="AQ42" s="85">
        <f>SUMIF([3]Savings!B$1:B$65536,A42,[3]Savings!H$1:H$65536)</f>
        <v>0</v>
      </c>
      <c r="AR42" s="84"/>
      <c r="AS42" s="76"/>
      <c r="AU42" s="76">
        <f t="shared" si="4"/>
        <v>2117.7664232687998</v>
      </c>
    </row>
    <row r="43" spans="1:47" x14ac:dyDescent="0.25">
      <c r="A43" s="77" t="s">
        <v>101</v>
      </c>
      <c r="B43" s="78">
        <v>1402000</v>
      </c>
      <c r="C43" s="78"/>
      <c r="D43" s="78">
        <v>6114608</v>
      </c>
      <c r="E43" s="79"/>
      <c r="F43" s="80"/>
      <c r="G43" s="81">
        <f>SUMIF('[3]DEVOLVED AND DEL INC TRAIN'!B$1:B$65536,A43,'[3]DEVOLVED AND DEL INC TRAIN'!AA$1:AA$65536)/1000+SUMIF([3]REGION!B$1:B$65536,A43,[3]REGION!L$1:L$65536)/1000+SUMIF([3]CTU!B$1:B$65536,A43,[3]CTU!L$1:L$65536)/1000</f>
        <v>7516.6080000000002</v>
      </c>
      <c r="H43" s="82"/>
      <c r="I43" s="83">
        <f>SUM('[3]DEVOLVED AND DEL INC TRAIN:OPCC'!O189:P190)/1000+SUM('[3]DEVOLVED AND DEL INC TRAIN:OPCC'!G189:K190)/1000</f>
        <v>0</v>
      </c>
      <c r="J43" s="84"/>
      <c r="K43" s="83">
        <f>SUM('[3]DEVOLVED AND DEL INC TRAIN:OPCC'!R189:U190)/1000</f>
        <v>-5</v>
      </c>
      <c r="L43" s="84"/>
      <c r="M43" s="81">
        <f t="shared" si="5"/>
        <v>75.116079999999997</v>
      </c>
      <c r="O43" s="76">
        <f t="shared" si="0"/>
        <v>7586.72408</v>
      </c>
      <c r="Q43" s="83">
        <f>SUMIF([3]Adjustments!B$1:B$65536,A43,[3]Adjustments!E$1:E$65536)</f>
        <v>0</v>
      </c>
      <c r="R43" s="84"/>
      <c r="S43" s="85">
        <f>SUMIF([3]Savings!B$1:B$65536,A43,[3]Savings!E$1:E$65536)</f>
        <v>0</v>
      </c>
      <c r="T43" s="84"/>
      <c r="U43" s="81">
        <f t="shared" si="6"/>
        <v>151.73448160000001</v>
      </c>
      <c r="W43" s="76">
        <f t="shared" si="1"/>
        <v>7738.4585616000004</v>
      </c>
      <c r="Y43" s="85">
        <f>SUMIF([3]Adjustments!B$1:B$65536,A43,[3]Adjustments!F$1:F$65536)</f>
        <v>0</v>
      </c>
      <c r="Z43" s="84"/>
      <c r="AA43" s="85">
        <f>SUMIF([3]Savings!B$1:B$65536,A43,[3]Savings!F$1:F$65536)</f>
        <v>0</v>
      </c>
      <c r="AB43" s="84"/>
      <c r="AC43" s="81">
        <f t="shared" si="7"/>
        <v>154.76917123200002</v>
      </c>
      <c r="AE43" s="76">
        <f t="shared" si="2"/>
        <v>7893.2277328320006</v>
      </c>
      <c r="AG43" s="85">
        <f>SUMIF([3]Adjustments!B$1:B$65536,A43,[3]Adjustments!G$1:G$65536)</f>
        <v>0</v>
      </c>
      <c r="AH43" s="84"/>
      <c r="AI43" s="85">
        <f>SUMIF([3]Savings!B$1:B$65536,A43,[3]Savings!G$1:G$65536)</f>
        <v>0</v>
      </c>
      <c r="AJ43" s="84"/>
      <c r="AK43" s="81">
        <f t="shared" si="8"/>
        <v>157.86455465664002</v>
      </c>
      <c r="AM43" s="76">
        <f t="shared" si="3"/>
        <v>8051.092287488641</v>
      </c>
      <c r="AO43" s="85">
        <f>SUMIF([3]Adjustments!B$1:B$65536,A43,[3]Adjustments!H$1:H$65536)</f>
        <v>0</v>
      </c>
      <c r="AP43" s="84"/>
      <c r="AQ43" s="85">
        <f>SUMIF([3]Savings!B$1:B$65536,A43,[3]Savings!H$1:H$65536)</f>
        <v>0</v>
      </c>
      <c r="AR43" s="84"/>
      <c r="AS43" s="76"/>
      <c r="AU43" s="76">
        <f t="shared" si="4"/>
        <v>8051.092287488641</v>
      </c>
    </row>
    <row r="44" spans="1:47" x14ac:dyDescent="0.25">
      <c r="A44" s="77" t="s">
        <v>102</v>
      </c>
      <c r="B44" s="78">
        <v>860000</v>
      </c>
      <c r="C44" s="78"/>
      <c r="D44" s="78">
        <v>256844.03000000003</v>
      </c>
      <c r="E44" s="79"/>
      <c r="F44" s="80"/>
      <c r="G44" s="81">
        <f>SUMIF('[3]DEVOLVED AND DEL INC TRAIN'!B$1:B$65536,A44,'[3]DEVOLVED AND DEL INC TRAIN'!AA$1:AA$65536)/1000+SUMIF([3]REGION!B$1:B$65536,A44,[3]REGION!L$1:L$65536)/1000+SUMIF([3]CTU!B$1:B$65536,A44,[3]CTU!L$1:L$65536)/1000</f>
        <v>1116.84403</v>
      </c>
      <c r="H44" s="82"/>
      <c r="I44" s="83">
        <f>SUM('[3]DEVOLVED AND DEL INC TRAIN:OPCC'!O165:P172)/1000+SUM('[3]DEVOLVED AND DEL INC TRAIN:OPCC'!G165:K172)/1000</f>
        <v>34</v>
      </c>
      <c r="J44" s="84"/>
      <c r="K44" s="83">
        <f>SUM('[3]DEVOLVED AND DEL INC TRAIN:OPCC'!R165:U172)/1000</f>
        <v>-171.464</v>
      </c>
      <c r="L44" s="84"/>
      <c r="M44" s="81">
        <f t="shared" si="5"/>
        <v>9.7938003000000009</v>
      </c>
      <c r="O44" s="76">
        <f t="shared" si="0"/>
        <v>989.17383030000008</v>
      </c>
      <c r="Q44" s="83">
        <f>SUMIF([3]Adjustments!B$1:B$65536,A44,[3]Adjustments!E$1:E$65536)</f>
        <v>0</v>
      </c>
      <c r="R44" s="84"/>
      <c r="S44" s="85">
        <f>SUMIF([3]Savings!B$1:B$65536,A44,[3]Savings!E$1:E$65536)</f>
        <v>0</v>
      </c>
      <c r="T44" s="84"/>
      <c r="U44" s="81">
        <f t="shared" si="6"/>
        <v>19.783476606000001</v>
      </c>
      <c r="W44" s="76">
        <f t="shared" si="1"/>
        <v>1008.9573069060001</v>
      </c>
      <c r="Y44" s="85">
        <f>SUMIF([3]Adjustments!B$1:B$65536,A44,[3]Adjustments!F$1:F$65536)</f>
        <v>0</v>
      </c>
      <c r="Z44" s="84"/>
      <c r="AA44" s="85">
        <f>SUMIF([3]Savings!B$1:B$65536,A44,[3]Savings!F$1:F$65536)</f>
        <v>0</v>
      </c>
      <c r="AB44" s="84"/>
      <c r="AC44" s="81">
        <f t="shared" si="7"/>
        <v>20.179146138120004</v>
      </c>
      <c r="AE44" s="76">
        <f t="shared" si="2"/>
        <v>1029.1364530441201</v>
      </c>
      <c r="AG44" s="85">
        <f>SUMIF([3]Adjustments!B$1:B$65536,A44,[3]Adjustments!G$1:G$65536)</f>
        <v>0</v>
      </c>
      <c r="AH44" s="84"/>
      <c r="AI44" s="85">
        <f>SUMIF([3]Savings!B$1:B$65536,A44,[3]Savings!G$1:G$65536)</f>
        <v>0</v>
      </c>
      <c r="AJ44" s="84"/>
      <c r="AK44" s="81">
        <f t="shared" si="8"/>
        <v>20.582729060882404</v>
      </c>
      <c r="AM44" s="76">
        <f t="shared" si="3"/>
        <v>1049.7191821050026</v>
      </c>
      <c r="AO44" s="85">
        <f>SUMIF([3]Adjustments!B$1:B$65536,A44,[3]Adjustments!H$1:H$65536)</f>
        <v>0</v>
      </c>
      <c r="AP44" s="84"/>
      <c r="AQ44" s="85">
        <f>SUMIF([3]Savings!B$1:B$65536,A44,[3]Savings!H$1:H$65536)</f>
        <v>0</v>
      </c>
      <c r="AR44" s="84"/>
      <c r="AS44" s="76"/>
      <c r="AU44" s="76">
        <f t="shared" si="4"/>
        <v>1049.7191821050026</v>
      </c>
    </row>
    <row r="45" spans="1:47" x14ac:dyDescent="0.25">
      <c r="A45" s="77" t="s">
        <v>103</v>
      </c>
      <c r="B45" s="78">
        <v>2118000</v>
      </c>
      <c r="C45" s="78"/>
      <c r="D45" s="78">
        <v>-379396.12000000011</v>
      </c>
      <c r="E45" s="79"/>
      <c r="F45" s="80"/>
      <c r="G45" s="81">
        <f>SUMIF('[3]DEVOLVED AND DEL INC TRAIN'!B$1:B$65536,A45,'[3]DEVOLVED AND DEL INC TRAIN'!AA$1:AA$65536)/1000+SUMIF([3]REGION!B$1:B$65536,A45,[3]REGION!L$1:L$65536)/1000+SUMIF([3]CTU!B$1:B$65536,A45,[3]CTU!L$1:L$65536)/1000</f>
        <v>1738.6038799999999</v>
      </c>
      <c r="H45" s="82"/>
      <c r="I45" s="83">
        <f>SUM('[3]DEVOLVED AND DEL INC TRAIN:OPCC'!O146:P156)/1000+SUM('[3]DEVOLVED AND DEL INC TRAIN:OPCC'!O158:P163)/1000+SUM('[3]DEVOLVED AND DEL INC TRAIN:OPCC'!O103:P103)/1000+SUM('[3]DEVOLVED AND DEL INC TRAIN:OPCC'!O83:P84)/1000+SUM('[3]DEVOLVED AND DEL INC TRAIN:OPCC'!O52:P56)/1000+SUM('[3]DEVOLVED AND DEL INC TRAIN:OPCC'!O58:P59)/1000+SUM('[3]DEVOLVED AND DEL INC TRAIN:OPCC'!O62:P62)/1000+SUM('[3]DEVOLVED AND DEL INC TRAIN:OPCC'!G146:K156)/1000+SUM('[3]DEVOLVED AND DEL INC TRAIN:OPCC'!G158:K163)/1000+SUM('[3]DEVOLVED AND DEL INC TRAIN:OPCC'!G103:K103)/1000+SUM('[3]DEVOLVED AND DEL INC TRAIN:OPCC'!G83:K84)/1000+SUM('[3]DEVOLVED AND DEL INC TRAIN:OPCC'!G52:K56)/1000+SUM('[3]DEVOLVED AND DEL INC TRAIN:OPCC'!G58:K59)/1000+SUM('[3]DEVOLVED AND DEL INC TRAIN:OPCC'!G62:K62)/1000</f>
        <v>-31</v>
      </c>
      <c r="J45" s="84"/>
      <c r="K45" s="83">
        <f>SUM('[3]DEVOLVED AND DEL INC TRAIN:OPCC'!R146:U156)/1000+SUM('[3]DEVOLVED AND DEL INC TRAIN:OPCC'!R158:U163)/1000+SUM('[3]DEVOLVED AND DEL INC TRAIN:OPCC'!R103:U103)/1000+SUM('[3]DEVOLVED AND DEL INC TRAIN:OPCC'!R83:U84)/1000+SUM('[3]DEVOLVED AND DEL INC TRAIN:OPCC'!R52:U56)/1000+SUM('[3]DEVOLVED AND DEL INC TRAIN:OPCC'!R58:U59)/1000+SUM('[3]DEVOLVED AND DEL INC TRAIN:OPCC'!R62:U62)/1000</f>
        <v>-320.19900000000001</v>
      </c>
      <c r="L45" s="84"/>
      <c r="M45" s="81">
        <f t="shared" si="5"/>
        <v>13.874048799999999</v>
      </c>
      <c r="O45" s="76">
        <f t="shared" si="0"/>
        <v>1401.2789287999999</v>
      </c>
      <c r="Q45" s="83">
        <f>SUMIF([3]Adjustments!B$1:B$65536,A45,[3]Adjustments!E$1:E$65536)</f>
        <v>0</v>
      </c>
      <c r="R45" s="84"/>
      <c r="S45" s="85">
        <f>SUMIF([3]Savings!B$1:B$65536,A45,[3]Savings!E$1:E$65536)</f>
        <v>0</v>
      </c>
      <c r="T45" s="84"/>
      <c r="U45" s="81">
        <f t="shared" si="6"/>
        <v>28.025578575999997</v>
      </c>
      <c r="W45" s="76">
        <f t="shared" si="1"/>
        <v>1429.3045073759999</v>
      </c>
      <c r="Y45" s="85">
        <f>SUMIF([3]Adjustments!B$1:B$65536,A45,[3]Adjustments!F$1:F$65536)</f>
        <v>0</v>
      </c>
      <c r="Z45" s="84"/>
      <c r="AA45" s="85">
        <f>SUMIF([3]Savings!B$1:B$65536,A45,[3]Savings!F$1:F$65536)</f>
        <v>0</v>
      </c>
      <c r="AB45" s="84"/>
      <c r="AC45" s="81">
        <f t="shared" si="7"/>
        <v>28.58609014752</v>
      </c>
      <c r="AE45" s="76">
        <f t="shared" si="2"/>
        <v>1457.89059752352</v>
      </c>
      <c r="AG45" s="85">
        <f>SUMIF([3]Adjustments!B$1:B$65536,A45,[3]Adjustments!G$1:G$65536)</f>
        <v>0</v>
      </c>
      <c r="AH45" s="84"/>
      <c r="AI45" s="85">
        <f>SUMIF([3]Savings!B$1:B$65536,A45,[3]Savings!G$1:G$65536)</f>
        <v>0</v>
      </c>
      <c r="AJ45" s="84"/>
      <c r="AK45" s="81">
        <f t="shared" si="8"/>
        <v>29.1578119504704</v>
      </c>
      <c r="AM45" s="76">
        <f t="shared" si="3"/>
        <v>1487.0484094739904</v>
      </c>
      <c r="AO45" s="85">
        <f>SUMIF([3]Adjustments!B$1:B$65536,A45,[3]Adjustments!H$1:H$65536)</f>
        <v>0</v>
      </c>
      <c r="AP45" s="84"/>
      <c r="AQ45" s="85">
        <f>SUMIF([3]Savings!B$1:B$65536,A45,[3]Savings!H$1:H$65536)</f>
        <v>0</v>
      </c>
      <c r="AR45" s="84"/>
      <c r="AS45" s="76"/>
      <c r="AU45" s="76">
        <f t="shared" si="4"/>
        <v>1487.0484094739904</v>
      </c>
    </row>
    <row r="46" spans="1:47" x14ac:dyDescent="0.25">
      <c r="A46" s="77" t="s">
        <v>104</v>
      </c>
      <c r="B46" s="78">
        <v>-4494000</v>
      </c>
      <c r="C46" s="78"/>
      <c r="D46" s="78">
        <v>601894.00999999885</v>
      </c>
      <c r="E46" s="79"/>
      <c r="F46" s="80"/>
      <c r="G46" s="81">
        <f>SUMIF('[3]DEVOLVED AND DEL INC TRAIN'!B$1:B$65536,A46,'[3]DEVOLVED AND DEL INC TRAIN'!AA$1:AA$65536)/1000+SUMIF([3]REGION!B$1:B$65536,A46,[3]REGION!L$1:L$65536)/1000+SUMIF([3]CTU!B$1:B$65536,A46,[3]CTU!L$1:L$65536)/1000</f>
        <v>-3892.1059900000009</v>
      </c>
      <c r="H46" s="82"/>
      <c r="I46" s="83">
        <f>SUM('[3]DEVOLVED AND DEL INC TRAIN:CTU'!O271:P283)/1000+SUM('[3]DEVOLVED AND DEL INC TRAIN:CTU'!G271:K282)/1000</f>
        <v>1735.3240000000001</v>
      </c>
      <c r="J46" s="84"/>
      <c r="K46" s="83">
        <f>SUM('[3]DEVOLVED AND DEL INC TRAIN:OPCC'!R270:U282)/1000</f>
        <v>-148.03700000000001</v>
      </c>
      <c r="L46" s="84"/>
      <c r="M46" s="81">
        <f t="shared" si="5"/>
        <v>-23.048189900000008</v>
      </c>
      <c r="O46" s="76">
        <f t="shared" si="0"/>
        <v>-2327.8671799000008</v>
      </c>
      <c r="Q46" s="83">
        <f>SUMIF([3]Adjustments!B$1:B$65536,A46,[3]Adjustments!E$1:E$65536)</f>
        <v>0</v>
      </c>
      <c r="R46" s="84"/>
      <c r="S46" s="85">
        <f>SUMIF([3]Savings!B$1:B$65536,A46,[3]Savings!E$1:E$65536)</f>
        <v>0</v>
      </c>
      <c r="T46" s="84"/>
      <c r="U46" s="81">
        <f t="shared" si="6"/>
        <v>-46.557343598000017</v>
      </c>
      <c r="W46" s="76">
        <f t="shared" si="1"/>
        <v>-2374.4245234980008</v>
      </c>
      <c r="Y46" s="85">
        <f>SUMIF([3]Adjustments!B$1:B$65536,A46,[3]Adjustments!F$1:F$65536)</f>
        <v>0</v>
      </c>
      <c r="Z46" s="84"/>
      <c r="AA46" s="85">
        <f>SUMIF([3]Savings!B$1:B$65536,A46,[3]Savings!F$1:F$65536)</f>
        <v>0</v>
      </c>
      <c r="AB46" s="84"/>
      <c r="AC46" s="81">
        <f t="shared" si="7"/>
        <v>-47.48849046996002</v>
      </c>
      <c r="AE46" s="76">
        <f t="shared" si="2"/>
        <v>-2421.913013967961</v>
      </c>
      <c r="AG46" s="85">
        <f>SUMIF([3]Adjustments!B$1:B$65536,A46,[3]Adjustments!G$1:G$65536)</f>
        <v>0</v>
      </c>
      <c r="AH46" s="84"/>
      <c r="AI46" s="85">
        <f>SUMIF([3]Savings!B$1:B$65536,A46,[3]Savings!G$1:G$65536)</f>
        <v>0</v>
      </c>
      <c r="AJ46" s="84"/>
      <c r="AK46" s="81">
        <f t="shared" si="8"/>
        <v>-48.43826027935922</v>
      </c>
      <c r="AM46" s="76">
        <f t="shared" si="3"/>
        <v>-2470.3512742473204</v>
      </c>
      <c r="AO46" s="85">
        <f>SUMIF([3]Adjustments!B$1:B$65536,A46,[3]Adjustments!H$1:H$65536)</f>
        <v>0</v>
      </c>
      <c r="AP46" s="84"/>
      <c r="AQ46" s="85">
        <f>SUMIF([3]Savings!B$1:B$65536,A46,[3]Savings!H$1:H$65536)</f>
        <v>0</v>
      </c>
      <c r="AR46" s="84"/>
      <c r="AS46" s="76"/>
      <c r="AU46" s="76">
        <f t="shared" si="4"/>
        <v>-2470.3512742473204</v>
      </c>
    </row>
    <row r="47" spans="1:47" x14ac:dyDescent="0.25">
      <c r="A47" s="35" t="s">
        <v>105</v>
      </c>
      <c r="B47" s="78">
        <v>85454000</v>
      </c>
      <c r="C47" s="78"/>
      <c r="D47" s="78">
        <v>-1215348.1400000018</v>
      </c>
      <c r="E47" s="79"/>
      <c r="G47" s="81">
        <f>SUM(G22:G46)</f>
        <v>84238.651859999969</v>
      </c>
      <c r="H47" s="81" t="s">
        <v>1</v>
      </c>
      <c r="I47" s="81">
        <f>SUM(I22:I46)</f>
        <v>2677.1313279999999</v>
      </c>
      <c r="J47" s="76" t="s">
        <v>1</v>
      </c>
      <c r="K47" s="81">
        <f>SUM(K22:K46)</f>
        <v>-2802.89</v>
      </c>
      <c r="L47" s="76" t="s">
        <v>1</v>
      </c>
      <c r="M47" s="81">
        <f>SUM(M22:M46)</f>
        <v>841.1289318800001</v>
      </c>
      <c r="N47" s="86" t="s">
        <v>1</v>
      </c>
      <c r="O47" s="76">
        <f>SUM(O22:O46)</f>
        <v>84954.022119880014</v>
      </c>
      <c r="P47" s="86" t="s">
        <v>1</v>
      </c>
      <c r="Q47" s="76">
        <f>SUM(Q22:Q46)</f>
        <v>11</v>
      </c>
      <c r="R47" s="76" t="s">
        <v>1</v>
      </c>
      <c r="S47" s="76">
        <f>SUM(S22:S46)</f>
        <v>-1000</v>
      </c>
      <c r="T47" s="76" t="s">
        <v>1</v>
      </c>
      <c r="U47" s="76">
        <f>SUM(U22:U46)</f>
        <v>1679.3004423975999</v>
      </c>
      <c r="V47" s="76" t="s">
        <v>1</v>
      </c>
      <c r="W47" s="76">
        <f>SUM(W22:W46)</f>
        <v>85644.322562277594</v>
      </c>
      <c r="Y47" s="76">
        <f>SUM(Y22:Y46)</f>
        <v>124</v>
      </c>
      <c r="Z47" s="76" t="s">
        <v>1</v>
      </c>
      <c r="AA47" s="76">
        <f>SUM(AA22:AA46)</f>
        <v>-1245.2</v>
      </c>
      <c r="AB47" s="76" t="s">
        <v>1</v>
      </c>
      <c r="AC47" s="76">
        <f>SUM(AC22:AC46)</f>
        <v>1690.4624512455516</v>
      </c>
      <c r="AD47" s="76" t="s">
        <v>1</v>
      </c>
      <c r="AE47" s="76">
        <f>SUM(AE22:AE46)</f>
        <v>86213.585013523189</v>
      </c>
      <c r="AG47" s="76">
        <f>SUM(AG22:AG46)</f>
        <v>762</v>
      </c>
      <c r="AH47" s="76" t="s">
        <v>1</v>
      </c>
      <c r="AI47" s="76">
        <f>SUM(AI22:AI46)</f>
        <v>0</v>
      </c>
      <c r="AJ47" s="76" t="s">
        <v>1</v>
      </c>
      <c r="AK47" s="76">
        <f>SUM(AK22:AK46)</f>
        <v>1739.5117002704633</v>
      </c>
      <c r="AL47" s="86" t="s">
        <v>1</v>
      </c>
      <c r="AM47" s="76">
        <f>SUM(AM22:AM46)</f>
        <v>88715.09671379361</v>
      </c>
      <c r="AO47" s="76">
        <f>SUM(AO22:AO46)</f>
        <v>-762</v>
      </c>
      <c r="AP47" s="76" t="s">
        <v>1</v>
      </c>
      <c r="AQ47" s="76">
        <f>SUM(AQ22:AQ46)</f>
        <v>0</v>
      </c>
      <c r="AR47" s="76" t="s">
        <v>1</v>
      </c>
      <c r="AS47" s="76">
        <f>SUM(AS22:AS46)</f>
        <v>0</v>
      </c>
      <c r="AT47" s="76" t="s">
        <v>1</v>
      </c>
      <c r="AU47" s="76">
        <f>SUM(AU22:AU46)</f>
        <v>87953.09671379361</v>
      </c>
    </row>
    <row r="48" spans="1:47" x14ac:dyDescent="0.25">
      <c r="B48" s="78"/>
      <c r="C48" s="78"/>
      <c r="D48" s="78"/>
      <c r="E48" s="79"/>
      <c r="G48" s="81"/>
      <c r="H48" s="82"/>
      <c r="I48" s="81"/>
      <c r="K48" s="81"/>
      <c r="M48" s="81"/>
      <c r="O48" s="76"/>
      <c r="Q48" s="76"/>
      <c r="S48" s="76"/>
      <c r="U48" s="76"/>
      <c r="W48" s="76"/>
      <c r="Y48" s="76"/>
      <c r="AA48" s="76"/>
      <c r="AC48" s="76"/>
      <c r="AE48" s="76"/>
      <c r="AG48" s="76"/>
      <c r="AI48" s="76"/>
      <c r="AK48" s="76"/>
      <c r="AM48" s="76"/>
      <c r="AO48" s="76"/>
      <c r="AQ48" s="76"/>
      <c r="AS48" s="76"/>
      <c r="AU48" s="76"/>
    </row>
    <row r="49" spans="1:47" x14ac:dyDescent="0.25">
      <c r="A49" s="87" t="s">
        <v>106</v>
      </c>
      <c r="B49" s="78"/>
      <c r="C49" s="78"/>
      <c r="D49" s="78"/>
      <c r="E49" s="79"/>
      <c r="G49" s="81"/>
      <c r="H49" s="82"/>
      <c r="I49" s="81"/>
      <c r="K49" s="81"/>
      <c r="M49" s="81"/>
      <c r="O49" s="76"/>
      <c r="Q49" s="76"/>
      <c r="S49" s="76"/>
      <c r="U49" s="76"/>
      <c r="W49" s="76"/>
      <c r="Y49" s="76"/>
      <c r="AA49" s="76"/>
      <c r="AC49" s="76"/>
      <c r="AE49" s="76"/>
      <c r="AG49" s="76"/>
      <c r="AI49" s="76"/>
      <c r="AK49" s="76"/>
      <c r="AM49" s="76"/>
      <c r="AO49" s="76"/>
      <c r="AQ49" s="76"/>
      <c r="AS49" s="76"/>
      <c r="AU49" s="76"/>
    </row>
    <row r="50" spans="1:47" x14ac:dyDescent="0.25">
      <c r="A50" s="35" t="s">
        <v>107</v>
      </c>
      <c r="B50" s="78">
        <v>-51352000</v>
      </c>
      <c r="C50" s="78"/>
      <c r="D50" s="88">
        <v>-19240706.730000004</v>
      </c>
      <c r="E50" s="79"/>
      <c r="G50" s="81">
        <f>SUMIF('[3]DEVOLVED AND DEL INC TRAIN'!B$1:B$65536,A50,'[3]DEVOLVED AND DEL INC TRAIN'!AA$1:AA$65536)/1000+SUMIF([3]REGION!B$1:B$65536,A50,[3]REGION!L$1:L$65536)/1000+SUMIF([3]CTU!B$1:B$65536,A50,[3]CTU!L$1:L$65536)/1000</f>
        <v>-70592.706730000005</v>
      </c>
      <c r="H50" s="82"/>
      <c r="I50" s="83">
        <f>SUM('[3]DEVOLVED AND DEL INC TRAIN:OPCC'!O218:P269)/1000+SUM('[3]DEVOLVED AND DEL INC TRAIN:OPCC'!G218:K269)/1000</f>
        <v>947.95100000000002</v>
      </c>
      <c r="J50" s="84"/>
      <c r="K50" s="83">
        <f>SUM('[3]DEVOLVED AND DEL INC TRAIN:OPCC'!R218:U269)/1000</f>
        <v>-1726.4110000000001</v>
      </c>
      <c r="L50" s="84"/>
      <c r="M50" s="81">
        <f>(G50+I50+K50)*1%</f>
        <v>-713.71166729999993</v>
      </c>
      <c r="O50" s="76">
        <f>SUM(G50:M50)</f>
        <v>-72084.878397299995</v>
      </c>
      <c r="Q50" s="83">
        <f>SUMIF([3]Adjustments!B$1:B$65536,A50,[3]Adjustments!E$1:E$65536)</f>
        <v>461.85899999999998</v>
      </c>
      <c r="R50" s="84"/>
      <c r="S50" s="85">
        <f>SUMIF([3]Savings!B$1:B$65536,A50,[3]Savings!E$1:E$65536)</f>
        <v>-1000</v>
      </c>
      <c r="T50" s="84"/>
      <c r="U50" s="81">
        <f>(O50+Q50+S50)*2%</f>
        <v>-1452.4603879460001</v>
      </c>
      <c r="W50" s="76">
        <f>SUM(O50:U50)</f>
        <v>-74075.479785246003</v>
      </c>
      <c r="Y50" s="85">
        <f>SUMIF([3]Adjustments!B$1:B$65536,A50,[3]Adjustments!F$1:F$65536)</f>
        <v>0</v>
      </c>
      <c r="Z50" s="84"/>
      <c r="AA50" s="85">
        <f>SUMIF([3]Savings!B$1:B$65536,A50,[3]Savings!F$1:F$65536)</f>
        <v>-1000</v>
      </c>
      <c r="AB50" s="84"/>
      <c r="AC50" s="81">
        <f>(W50+Y50+AA50)*2%</f>
        <v>-1501.50959570492</v>
      </c>
      <c r="AE50" s="76">
        <f>SUM(W50:AC50)</f>
        <v>-76576.989380950923</v>
      </c>
      <c r="AG50" s="85">
        <f>SUMIF([3]Adjustments!B$1:B$65536,A50,[3]Adjustments!G$1:G$65536)</f>
        <v>0</v>
      </c>
      <c r="AH50" s="84"/>
      <c r="AI50" s="85">
        <f>SUMIF([3]Savings!B$1:B$65536,A50,[3]Savings!G$1:G$65536)</f>
        <v>0</v>
      </c>
      <c r="AJ50" s="84"/>
      <c r="AK50" s="81">
        <f>(AE50+AG50+AI50)*2%</f>
        <v>-1531.5397876190184</v>
      </c>
      <c r="AM50" s="76">
        <f>SUM(AE50:AK50)</f>
        <v>-78108.529168569949</v>
      </c>
      <c r="AO50" s="85">
        <f>SUMIF([3]Adjustments!B$1:B$65536,A50,[3]Adjustments!H$1:H$65536)</f>
        <v>0</v>
      </c>
      <c r="AP50" s="84"/>
      <c r="AQ50" s="85">
        <f>SUMIF([3]Savings!B$1:B$65536,A50,[3]Savings!H$1:H$65536)</f>
        <v>0</v>
      </c>
      <c r="AR50" s="84"/>
      <c r="AS50" s="76"/>
      <c r="AU50" s="76">
        <f>SUM(AM50:AS50)</f>
        <v>-78108.529168569949</v>
      </c>
    </row>
    <row r="51" spans="1:47" x14ac:dyDescent="0.25">
      <c r="B51" s="89"/>
      <c r="C51" s="78"/>
      <c r="D51" s="89"/>
      <c r="E51" s="33"/>
      <c r="G51" s="76"/>
      <c r="I51" s="76"/>
      <c r="K51" s="76"/>
      <c r="M51" s="76"/>
      <c r="O51" s="76"/>
      <c r="Q51" s="76"/>
      <c r="S51" s="76"/>
      <c r="U51" s="76"/>
      <c r="W51" s="76"/>
      <c r="Y51" s="76"/>
      <c r="AA51" s="76"/>
      <c r="AC51" s="76"/>
      <c r="AE51" s="76"/>
      <c r="AG51" s="76"/>
      <c r="AI51" s="76"/>
      <c r="AK51" s="76"/>
      <c r="AM51" s="76"/>
      <c r="AO51" s="76"/>
      <c r="AQ51" s="76"/>
      <c r="AS51" s="76"/>
      <c r="AU51" s="76"/>
    </row>
    <row r="52" spans="1:47" ht="18.75" thickBot="1" x14ac:dyDescent="0.3">
      <c r="A52" s="90" t="s">
        <v>108</v>
      </c>
      <c r="B52" s="91">
        <v>374401000</v>
      </c>
      <c r="C52" s="78">
        <v>0</v>
      </c>
      <c r="D52" s="91">
        <v>-8610237.1899999995</v>
      </c>
      <c r="E52" s="33"/>
      <c r="F52" s="92"/>
      <c r="G52" s="93">
        <f>G50+G47+G19</f>
        <v>365790.76280999993</v>
      </c>
      <c r="I52" s="93">
        <f>I50+I47+I19</f>
        <v>19534.353868000002</v>
      </c>
      <c r="J52" s="84"/>
      <c r="K52" s="93">
        <f>K50+K47+K19</f>
        <v>-16295.847199999998</v>
      </c>
      <c r="L52" s="84"/>
      <c r="M52" s="93">
        <f>M50+M47+M19</f>
        <v>3299.5073645063549</v>
      </c>
      <c r="O52" s="93">
        <f>O50+O47+O19</f>
        <v>372328.77684250637</v>
      </c>
      <c r="Q52" s="93">
        <f>Q50+Q47+Q19</f>
        <v>20152.640458333335</v>
      </c>
      <c r="R52" s="84"/>
      <c r="S52" s="93">
        <f>S50+S47+S19</f>
        <v>-14521.556999999999</v>
      </c>
      <c r="T52" s="84"/>
      <c r="U52" s="93">
        <f>U50+U47+U19</f>
        <v>3893.0186302341963</v>
      </c>
      <c r="W52" s="93">
        <f>W50+W47+W19</f>
        <v>381852.87893107382</v>
      </c>
      <c r="Y52" s="93">
        <f>Y50+Y47+Y19</f>
        <v>18029.404137500002</v>
      </c>
      <c r="Z52" s="84"/>
      <c r="AA52" s="93">
        <f>AA50+AA47+AA19</f>
        <v>-14940.215900000003</v>
      </c>
      <c r="AB52" s="84"/>
      <c r="AC52" s="93">
        <f>AC50+AC47+AC19</f>
        <v>3943.8970994560541</v>
      </c>
      <c r="AE52" s="93">
        <f>SUM(W52:AC52)</f>
        <v>388885.96426802984</v>
      </c>
      <c r="AG52" s="93">
        <f>AG50+AG47+AG19</f>
        <v>14274.114819024999</v>
      </c>
      <c r="AH52" s="84"/>
      <c r="AI52" s="93">
        <f>AI50+AI47+AI19</f>
        <v>-14085.573322000002</v>
      </c>
      <c r="AJ52" s="84"/>
      <c r="AK52" s="93">
        <f>AK50+AK47+AK19</f>
        <v>3994.7310139762722</v>
      </c>
      <c r="AM52" s="93">
        <f>AK52+AI52+AG52+AE52</f>
        <v>393069.23677903111</v>
      </c>
      <c r="AO52" s="93">
        <f>AO19+AO47</f>
        <v>-762</v>
      </c>
      <c r="AP52" s="84"/>
      <c r="AQ52" s="93">
        <f>AQ19+AQ47</f>
        <v>0</v>
      </c>
      <c r="AR52" s="84"/>
      <c r="AS52" s="93">
        <f>AS19+AS47+AS50</f>
        <v>0</v>
      </c>
      <c r="AU52" s="93">
        <f>AU50+AU47+AU19</f>
        <v>392307.23677903123</v>
      </c>
    </row>
    <row r="53" spans="1:47" ht="19.5" hidden="1" thickTop="1" thickBot="1" x14ac:dyDescent="0.3">
      <c r="A53" s="90"/>
      <c r="B53" s="94"/>
      <c r="C53" s="78"/>
      <c r="D53" s="94"/>
      <c r="E53" s="33"/>
      <c r="F53" s="92"/>
      <c r="G53" s="95" t="e">
        <f>SUM(#REF!)</f>
        <v>#REF!</v>
      </c>
      <c r="H53" s="61"/>
      <c r="I53" s="95" t="e">
        <f>SUM(#REF!)+SUM(#REF!)+#REF!</f>
        <v>#REF!</v>
      </c>
      <c r="J53" s="61"/>
      <c r="K53" s="95" t="e">
        <f>SUM(#REF!)+#REF!+#REF!</f>
        <v>#REF!</v>
      </c>
      <c r="L53" s="61"/>
      <c r="M53" s="95" t="e">
        <f>#REF!+#REF!</f>
        <v>#REF!</v>
      </c>
      <c r="O53" s="95" t="e">
        <f>SUM(G53:M53)</f>
        <v>#REF!</v>
      </c>
      <c r="P53" s="64"/>
      <c r="Q53" s="95">
        <f>SUM(Q14:Q18)+SUM(Q22:Q50)</f>
        <v>20163.640458333335</v>
      </c>
      <c r="R53" s="61"/>
      <c r="S53" s="95"/>
      <c r="T53" s="61"/>
      <c r="U53" s="95">
        <f>SUM(U14:U18)+SUM(U22:U50)</f>
        <v>5572.3190726317962</v>
      </c>
      <c r="W53" s="95">
        <f>SUM(W14:W18)+SUM(W22:W50)</f>
        <v>467497.20149335143</v>
      </c>
      <c r="Y53" s="95">
        <f>SUM(Y14:Y18)+SUM(Y22:Y50)</f>
        <v>18153.404137500002</v>
      </c>
      <c r="Z53" s="61"/>
      <c r="AA53" s="95"/>
      <c r="AB53" s="61"/>
      <c r="AC53" s="95">
        <f>SUM(AC14:AC18)+SUM(AC22:AC50)</f>
        <v>5634.3595507016053</v>
      </c>
      <c r="AE53" s="95">
        <f>SUM(AE14:AE18)+SUM(AE22:AE50)</f>
        <v>475099.54928155313</v>
      </c>
      <c r="AG53" s="95">
        <f>SUM(AG14:AG18)+SUM(AG22:AG50)</f>
        <v>15036.114819024999</v>
      </c>
      <c r="AH53" s="61"/>
      <c r="AI53" s="95"/>
      <c r="AJ53" s="61"/>
      <c r="AK53" s="95">
        <f>SUM(AK14:AK18)+SUM(AK22:AK50)</f>
        <v>5734.2427142467359</v>
      </c>
      <c r="AM53" s="95">
        <f>SUM(AM14:AM18)+SUM(AM22:AM50)</f>
        <v>481784.33349282481</v>
      </c>
      <c r="AO53" s="95">
        <f>SUM(AO14:AO18)+SUM(AO22:AO50)</f>
        <v>-1524</v>
      </c>
      <c r="AP53" s="61"/>
      <c r="AQ53" s="95"/>
      <c r="AR53" s="61"/>
      <c r="AS53" s="95">
        <f>SUM(AS14:AS18)+SUM(AS22:AS50)</f>
        <v>0</v>
      </c>
      <c r="AU53" s="95">
        <f>SUM(AU14:AU18)+SUM(AU22:AU50)</f>
        <v>480260.33349282481</v>
      </c>
    </row>
    <row r="54" spans="1:47" ht="12.75" customHeight="1" thickTop="1" x14ac:dyDescent="0.25">
      <c r="A54" s="90"/>
      <c r="B54" s="33"/>
      <c r="C54" s="78"/>
      <c r="D54" s="33"/>
      <c r="E54" s="33"/>
      <c r="F54" s="92"/>
      <c r="H54" s="61"/>
      <c r="J54" s="61"/>
      <c r="L54" s="61"/>
      <c r="P54" s="64"/>
      <c r="R54" s="61"/>
      <c r="T54" s="61"/>
      <c r="Z54" s="61"/>
      <c r="AB54" s="61"/>
      <c r="AH54" s="61"/>
      <c r="AJ54" s="61"/>
      <c r="AP54" s="61"/>
      <c r="AR54" s="61"/>
    </row>
    <row r="55" spans="1:47" ht="3.75" customHeight="1" thickBot="1" x14ac:dyDescent="0.3">
      <c r="A55" s="90"/>
      <c r="B55" s="33"/>
      <c r="C55" s="78"/>
      <c r="D55" s="33"/>
      <c r="E55" s="33"/>
      <c r="F55" s="92"/>
      <c r="H55" s="61"/>
      <c r="I55" s="65" t="e">
        <f>SUM(#REF!)+SUM(#REF!)+#REF!</f>
        <v>#REF!</v>
      </c>
      <c r="J55" s="61"/>
      <c r="L55" s="61"/>
      <c r="P55" s="64"/>
      <c r="R55" s="61"/>
      <c r="T55" s="61"/>
      <c r="Z55" s="61"/>
      <c r="AB55" s="61"/>
      <c r="AH55" s="61"/>
      <c r="AJ55" s="61"/>
      <c r="AP55" s="61"/>
      <c r="AR55" s="61"/>
    </row>
    <row r="56" spans="1:47" ht="18.75" thickBot="1" x14ac:dyDescent="0.3">
      <c r="A56" s="56" t="s">
        <v>109</v>
      </c>
      <c r="B56" s="57"/>
      <c r="C56" s="78"/>
      <c r="D56" s="57"/>
      <c r="E56" s="57"/>
      <c r="F56" s="59"/>
      <c r="G56" s="60"/>
      <c r="H56" s="61"/>
      <c r="I56" s="62" t="s">
        <v>1</v>
      </c>
      <c r="J56" s="61"/>
      <c r="K56" s="60"/>
      <c r="L56" s="61"/>
      <c r="M56" s="62"/>
      <c r="O56" s="60"/>
      <c r="P56" s="64"/>
      <c r="Q56" s="62"/>
      <c r="R56" s="61"/>
      <c r="S56" s="60"/>
      <c r="T56" s="61"/>
      <c r="U56" s="62"/>
      <c r="W56" s="60"/>
      <c r="Y56" s="62"/>
      <c r="Z56" s="61"/>
      <c r="AA56" s="60"/>
      <c r="AB56" s="61"/>
      <c r="AC56" s="62"/>
      <c r="AE56" s="60"/>
      <c r="AG56" s="62"/>
      <c r="AH56" s="61"/>
      <c r="AI56" s="60"/>
      <c r="AJ56" s="61"/>
      <c r="AK56" s="62"/>
      <c r="AM56" s="60"/>
      <c r="AO56" s="62"/>
      <c r="AP56" s="61"/>
      <c r="AQ56" s="60"/>
      <c r="AR56" s="61"/>
      <c r="AS56" s="62"/>
      <c r="AU56" s="60"/>
    </row>
    <row r="57" spans="1:47" ht="8.25" customHeight="1" x14ac:dyDescent="0.25">
      <c r="A57" s="66"/>
      <c r="B57" s="67"/>
      <c r="C57" s="78"/>
      <c r="D57" s="67"/>
      <c r="E57" s="69"/>
      <c r="F57" s="68"/>
      <c r="G57" s="70"/>
      <c r="H57" s="61"/>
      <c r="I57" s="71" t="s">
        <v>1</v>
      </c>
      <c r="J57" s="61"/>
      <c r="K57" s="70"/>
      <c r="L57" s="61"/>
      <c r="M57" s="71"/>
      <c r="O57" s="70"/>
      <c r="P57" s="64"/>
      <c r="Q57" s="71"/>
      <c r="R57" s="61"/>
      <c r="S57" s="70"/>
      <c r="T57" s="61"/>
      <c r="U57" s="71"/>
      <c r="W57" s="70"/>
      <c r="Y57" s="71"/>
      <c r="Z57" s="61"/>
      <c r="AA57" s="70"/>
      <c r="AB57" s="61"/>
      <c r="AC57" s="71"/>
      <c r="AE57" s="70"/>
      <c r="AG57" s="71"/>
      <c r="AH57" s="61"/>
      <c r="AI57" s="70"/>
      <c r="AJ57" s="61"/>
      <c r="AK57" s="71"/>
      <c r="AM57" s="70"/>
      <c r="AO57" s="71"/>
      <c r="AP57" s="61"/>
      <c r="AQ57" s="70"/>
      <c r="AR57" s="61"/>
      <c r="AS57" s="71"/>
      <c r="AU57" s="70"/>
    </row>
    <row r="58" spans="1:47" x14ac:dyDescent="0.25">
      <c r="A58" s="72" t="s">
        <v>72</v>
      </c>
      <c r="B58" s="73"/>
      <c r="C58" s="78"/>
      <c r="D58" s="73"/>
      <c r="E58" s="69"/>
      <c r="F58" s="74"/>
      <c r="G58" s="75"/>
      <c r="H58" s="61"/>
      <c r="I58" s="76"/>
      <c r="J58" s="61"/>
      <c r="K58" s="75"/>
      <c r="L58" s="61"/>
      <c r="M58" s="76"/>
      <c r="O58" s="75"/>
      <c r="P58" s="64"/>
      <c r="Q58" s="76"/>
      <c r="R58" s="61"/>
      <c r="S58" s="75"/>
      <c r="T58" s="61"/>
      <c r="U58" s="76"/>
      <c r="W58" s="75"/>
      <c r="Y58" s="76"/>
      <c r="Z58" s="61"/>
      <c r="AA58" s="75"/>
      <c r="AB58" s="61"/>
      <c r="AC58" s="76"/>
      <c r="AE58" s="75"/>
      <c r="AG58" s="76"/>
      <c r="AH58" s="61"/>
      <c r="AI58" s="75"/>
      <c r="AJ58" s="61"/>
      <c r="AK58" s="76"/>
      <c r="AM58" s="75"/>
      <c r="AO58" s="76"/>
      <c r="AP58" s="61"/>
      <c r="AQ58" s="75"/>
      <c r="AR58" s="61"/>
      <c r="AS58" s="76"/>
      <c r="AU58" s="75"/>
    </row>
    <row r="59" spans="1:47" x14ac:dyDescent="0.25">
      <c r="A59" s="35" t="s">
        <v>110</v>
      </c>
      <c r="B59" s="78">
        <v>7995000</v>
      </c>
      <c r="C59" s="78"/>
      <c r="D59" s="78">
        <v>-368</v>
      </c>
      <c r="E59" s="79"/>
      <c r="G59" s="81">
        <f>SUMIF('[3]NON DEV NON DEL '!A$1:A$65536,A59,'[3]NON DEV NON DEL '!J$1:J$65536)/1000</f>
        <v>7994.6319999999996</v>
      </c>
      <c r="H59" s="82"/>
      <c r="I59" s="83">
        <f>SUM('[3]NON DEV NON DEL '!L118:O118)</f>
        <v>0</v>
      </c>
      <c r="J59" s="84"/>
      <c r="K59" s="83">
        <f>SUM('[3]NON DEV NON DEL '!P118:S118)/1000</f>
        <v>-359.42</v>
      </c>
      <c r="L59" s="96"/>
      <c r="M59" s="81">
        <f>(G59+I59+K59)*1%</f>
        <v>76.352119999999999</v>
      </c>
      <c r="O59" s="76">
        <f>SUM(G59:M59)</f>
        <v>7711.5641199999991</v>
      </c>
      <c r="Q59" s="83">
        <f>SUMIF([3]Adjustments!B$1:B$65536,A59,[3]Adjustments!E$1:E$65536)</f>
        <v>0</v>
      </c>
      <c r="R59" s="84"/>
      <c r="S59" s="85">
        <f>SUMIF([3]Savings!B$1:B$65536,A59,[3]Savings!E$1:E$65536)</f>
        <v>0</v>
      </c>
      <c r="T59" s="84"/>
      <c r="U59" s="81">
        <f>(O59+Q59+S59)*1%</f>
        <v>77.115641199999999</v>
      </c>
      <c r="W59" s="76">
        <f>SUM(O59:U59)</f>
        <v>7788.6797611999991</v>
      </c>
      <c r="Y59" s="85">
        <f>SUMIF([3]Adjustments!B$1:B$65536,A59,[3]Adjustments!F$1:F$65536)</f>
        <v>0</v>
      </c>
      <c r="Z59" s="84"/>
      <c r="AA59" s="85">
        <f>SUMIF([3]Savings!B$1:B$65536,A59,[3]Savings!F$1:F$65536)</f>
        <v>0</v>
      </c>
      <c r="AB59" s="84"/>
      <c r="AC59" s="81">
        <f>(W59+Y59+AA59)*1%</f>
        <v>77.886797611999995</v>
      </c>
      <c r="AE59" s="76">
        <f>SUM(W59:AC59)</f>
        <v>7866.5665588119991</v>
      </c>
      <c r="AG59" s="85">
        <f>SUMIF([3]Adjustments!B$1:B$65536,A59,[3]Adjustments!G$1:G$65536)</f>
        <v>0</v>
      </c>
      <c r="AH59" s="84"/>
      <c r="AI59" s="85">
        <f>SUMIF([3]Savings!B$1:B$65536,A59,[3]Savings!G$1:G$65536)</f>
        <v>0</v>
      </c>
      <c r="AJ59" s="84"/>
      <c r="AK59" s="81">
        <f>(AE59+AG59+AI59)*1%</f>
        <v>78.665665588119992</v>
      </c>
      <c r="AM59" s="76">
        <f>SUM(AE59:AK59)</f>
        <v>7945.2322244001189</v>
      </c>
      <c r="AO59" s="85">
        <f>SUMIF([3]Adjustments!B$1:B$65536,A59,[3]Adjustments!H$1:H$65536)</f>
        <v>0</v>
      </c>
      <c r="AP59" s="84"/>
      <c r="AQ59" s="85">
        <f>SUMIF([3]Savings!B$1:B$65536,A59,[3]Savings!H$1:H$65536)</f>
        <v>0</v>
      </c>
      <c r="AR59" s="84"/>
      <c r="AS59" s="76"/>
      <c r="AU59" s="76">
        <f>SUM(AM59:AS59)</f>
        <v>7945.2322244001189</v>
      </c>
    </row>
    <row r="60" spans="1:47" ht="10.5" customHeight="1" x14ac:dyDescent="0.25">
      <c r="A60" s="35" t="s">
        <v>1</v>
      </c>
      <c r="B60" s="78"/>
      <c r="C60" s="78"/>
      <c r="D60" s="78"/>
      <c r="E60" s="79"/>
      <c r="G60" s="81"/>
      <c r="H60" s="82"/>
      <c r="I60" s="81"/>
      <c r="J60" s="84"/>
      <c r="K60" s="81"/>
      <c r="L60" s="96"/>
      <c r="M60" s="81"/>
      <c r="O60" s="76"/>
      <c r="Q60" s="76"/>
      <c r="R60" s="84"/>
      <c r="S60" s="76"/>
      <c r="T60" s="84"/>
      <c r="U60" s="76"/>
      <c r="W60" s="76"/>
      <c r="Y60" s="76"/>
      <c r="Z60" s="84"/>
      <c r="AA60" s="76"/>
      <c r="AB60" s="84"/>
      <c r="AC60" s="76"/>
      <c r="AE60" s="76"/>
      <c r="AG60" s="76"/>
      <c r="AH60" s="84"/>
      <c r="AI60" s="76"/>
      <c r="AJ60" s="84"/>
      <c r="AK60" s="76"/>
      <c r="AM60" s="76"/>
      <c r="AO60" s="76"/>
      <c r="AP60" s="84"/>
      <c r="AQ60" s="76"/>
      <c r="AR60" s="84"/>
      <c r="AS60" s="76"/>
      <c r="AU60" s="76"/>
    </row>
    <row r="61" spans="1:47" x14ac:dyDescent="0.25">
      <c r="A61" s="87" t="s">
        <v>79</v>
      </c>
      <c r="B61" s="78"/>
      <c r="C61" s="78"/>
      <c r="D61" s="78"/>
      <c r="E61" s="79"/>
      <c r="G61" s="81"/>
      <c r="H61" s="82"/>
      <c r="I61" s="81"/>
      <c r="J61" s="84"/>
      <c r="K61" s="81"/>
      <c r="L61" s="96"/>
      <c r="M61" s="81"/>
      <c r="O61" s="76"/>
      <c r="Q61" s="76"/>
      <c r="R61" s="84"/>
      <c r="S61" s="76"/>
      <c r="T61" s="84"/>
      <c r="U61" s="76"/>
      <c r="W61" s="76"/>
      <c r="Y61" s="76"/>
      <c r="Z61" s="84"/>
      <c r="AA61" s="76"/>
      <c r="AB61" s="84"/>
      <c r="AC61" s="76"/>
      <c r="AE61" s="76"/>
      <c r="AG61" s="76"/>
      <c r="AH61" s="84"/>
      <c r="AI61" s="76"/>
      <c r="AJ61" s="84"/>
      <c r="AK61" s="76"/>
      <c r="AM61" s="76"/>
      <c r="AO61" s="76"/>
      <c r="AP61" s="84"/>
      <c r="AQ61" s="76"/>
      <c r="AR61" s="84"/>
      <c r="AS61" s="76"/>
      <c r="AU61" s="76"/>
    </row>
    <row r="62" spans="1:47" x14ac:dyDescent="0.25">
      <c r="A62" s="77" t="s">
        <v>111</v>
      </c>
      <c r="B62" s="78"/>
      <c r="C62" s="78"/>
      <c r="D62" s="78"/>
      <c r="E62" s="79"/>
      <c r="F62" s="80"/>
      <c r="G62" s="81"/>
      <c r="H62" s="82"/>
      <c r="I62" s="83"/>
      <c r="J62" s="84"/>
      <c r="K62" s="83"/>
      <c r="L62" s="96"/>
      <c r="M62" s="81"/>
      <c r="O62" s="76"/>
      <c r="Q62" s="76"/>
      <c r="R62" s="84"/>
      <c r="S62" s="76"/>
      <c r="T62" s="84"/>
      <c r="U62" s="76"/>
      <c r="W62" s="76"/>
      <c r="Y62" s="76"/>
      <c r="Z62" s="84"/>
      <c r="AA62" s="76"/>
      <c r="AB62" s="84"/>
      <c r="AC62" s="76"/>
      <c r="AE62" s="76"/>
      <c r="AG62" s="76"/>
      <c r="AH62" s="84"/>
      <c r="AI62" s="76"/>
      <c r="AJ62" s="84"/>
      <c r="AK62" s="76"/>
      <c r="AM62" s="76"/>
      <c r="AO62" s="76"/>
      <c r="AP62" s="84"/>
      <c r="AQ62" s="76"/>
      <c r="AR62" s="84"/>
      <c r="AS62" s="76"/>
      <c r="AU62" s="76"/>
    </row>
    <row r="63" spans="1:47" x14ac:dyDescent="0.25">
      <c r="A63" s="77" t="s">
        <v>112</v>
      </c>
      <c r="B63" s="78">
        <v>7893000</v>
      </c>
      <c r="C63" s="78"/>
      <c r="D63" s="78">
        <v>0</v>
      </c>
      <c r="E63" s="79"/>
      <c r="F63" s="80"/>
      <c r="G63" s="81">
        <f>SUMIF('[3]NON DEV NON DEL '!A$1:A$65536,A63,'[3]NON DEV NON DEL '!J$1:J$65536)/1000</f>
        <v>7893</v>
      </c>
      <c r="H63" s="82"/>
      <c r="I63" s="83">
        <f>SUM('[3]NON DEV NON DEL '!L67:O69)/1000+SUM('[3]NON DEV NON DEL '!L71:O71)/1000</f>
        <v>0</v>
      </c>
      <c r="J63" s="84"/>
      <c r="K63" s="83">
        <f>SUM('[3]NON DEV NON DEL '!P67:S69)/1000+SUM('[3]NON DEV NON DEL '!P71:S71)/1000</f>
        <v>-7</v>
      </c>
      <c r="L63" s="96"/>
      <c r="M63" s="81"/>
      <c r="O63" s="76">
        <f t="shared" ref="O63:O74" si="9">SUM(G63:M63)</f>
        <v>7886</v>
      </c>
      <c r="Q63" s="83">
        <f>SUMIF([3]Adjustments!B$1:B$65536,A63,[3]Adjustments!E$1:E$65536)</f>
        <v>0</v>
      </c>
      <c r="R63" s="84"/>
      <c r="S63" s="85">
        <f>SUMIF([3]Savings!B$1:B$65536,A63,[3]Savings!E$1:E$65536)</f>
        <v>0</v>
      </c>
      <c r="T63" s="84"/>
      <c r="U63" s="81">
        <v>0</v>
      </c>
      <c r="W63" s="76">
        <f t="shared" ref="W63:W74" si="10">SUM(O63:U63)</f>
        <v>7886</v>
      </c>
      <c r="Y63" s="85">
        <f>SUMIF([3]Adjustments!B$1:B$65536,A63,[3]Adjustments!F$1:F$65536)</f>
        <v>0</v>
      </c>
      <c r="Z63" s="84"/>
      <c r="AA63" s="85">
        <f>SUMIF([3]Savings!B$1:B$65536,A63,[3]Savings!F$1:F$65536)</f>
        <v>0</v>
      </c>
      <c r="AB63" s="84"/>
      <c r="AC63" s="81">
        <v>0</v>
      </c>
      <c r="AE63" s="76">
        <f t="shared" ref="AE63:AE74" si="11">SUM(W63:AC63)</f>
        <v>7886</v>
      </c>
      <c r="AG63" s="85">
        <f>SUMIF([3]Adjustments!B$1:B$65536,A63,[3]Adjustments!G$1:G$65536)</f>
        <v>0</v>
      </c>
      <c r="AH63" s="84"/>
      <c r="AI63" s="85">
        <f>SUMIF([3]Savings!B$1:B$65536,A63,[3]Savings!G$1:G$65536)</f>
        <v>0</v>
      </c>
      <c r="AJ63" s="84"/>
      <c r="AK63" s="81">
        <v>0</v>
      </c>
      <c r="AM63" s="76">
        <f t="shared" ref="AM63:AM74" si="12">SUM(AE63:AK63)</f>
        <v>7886</v>
      </c>
      <c r="AO63" s="85">
        <f>SUMIF([3]Adjustments!B$1:B$65536,A63,[3]Adjustments!H$1:H$65536)</f>
        <v>0</v>
      </c>
      <c r="AP63" s="84"/>
      <c r="AQ63" s="85">
        <f>SUMIF([3]Savings!B$1:B$65536,A63,[3]Savings!H$1:H$65536)</f>
        <v>0</v>
      </c>
      <c r="AR63" s="84"/>
      <c r="AS63" s="76"/>
      <c r="AU63" s="76">
        <f t="shared" ref="AU63:AU74" si="13">SUM(AM63:AS63)</f>
        <v>7886</v>
      </c>
    </row>
    <row r="64" spans="1:47" ht="18.75" customHeight="1" x14ac:dyDescent="0.25">
      <c r="A64" s="97" t="s">
        <v>113</v>
      </c>
      <c r="B64" s="78">
        <v>1179000</v>
      </c>
      <c r="C64" s="78"/>
      <c r="D64" s="78">
        <v>0</v>
      </c>
      <c r="E64" s="79"/>
      <c r="F64" s="98"/>
      <c r="G64" s="81">
        <f>SUMIF('[3]NON DEV NON DEL '!A$1:A$65536,A64,'[3]NON DEV NON DEL '!J$1:J$65536)/1000</f>
        <v>1179</v>
      </c>
      <c r="H64" s="82"/>
      <c r="I64" s="83">
        <f>SUM('[3]NON DEV NON DEL '!L70:O70)/1000</f>
        <v>6554</v>
      </c>
      <c r="J64" s="84"/>
      <c r="K64" s="83">
        <f>SUM('[3]NON DEV NON DEL '!P70:S70)/1000</f>
        <v>-179</v>
      </c>
      <c r="L64" s="96"/>
      <c r="M64" s="81"/>
      <c r="O64" s="76">
        <f t="shared" si="9"/>
        <v>7554</v>
      </c>
      <c r="Q64" s="83">
        <f>SUMIF([3]Adjustments!B$1:B$65536,A64,[3]Adjustments!E$1:E$65536)</f>
        <v>-6554</v>
      </c>
      <c r="R64" s="84"/>
      <c r="S64" s="85">
        <f>SUMIF([3]Savings!B$1:B$65536,A64,[3]Savings!E$1:E$65536)</f>
        <v>0</v>
      </c>
      <c r="T64" s="84"/>
      <c r="U64" s="81">
        <v>0</v>
      </c>
      <c r="W64" s="76">
        <f t="shared" si="10"/>
        <v>1000</v>
      </c>
      <c r="Y64" s="85">
        <f>SUMIF([3]Adjustments!B$1:B$65536,A64,[3]Adjustments!F$1:F$65536)</f>
        <v>0</v>
      </c>
      <c r="Z64" s="84"/>
      <c r="AA64" s="85">
        <f>SUMIF([3]Savings!B$1:B$65536,A64,[3]Savings!F$1:F$65536)</f>
        <v>0</v>
      </c>
      <c r="AB64" s="84"/>
      <c r="AC64" s="81"/>
      <c r="AE64" s="76">
        <f t="shared" si="11"/>
        <v>1000</v>
      </c>
      <c r="AG64" s="85">
        <f>SUMIF([3]Adjustments!B$1:B$65536,A64,[3]Adjustments!G$1:G$65536)</f>
        <v>0</v>
      </c>
      <c r="AH64" s="84"/>
      <c r="AI64" s="85">
        <f>SUMIF([3]Savings!B$1:B$65536,A64,[3]Savings!G$1:G$65536)</f>
        <v>0</v>
      </c>
      <c r="AJ64" s="84"/>
      <c r="AK64" s="81"/>
      <c r="AM64" s="76">
        <f t="shared" si="12"/>
        <v>1000</v>
      </c>
      <c r="AO64" s="85">
        <f>SUMIF([3]Adjustments!B$1:B$65536,A64,[3]Adjustments!H$1:H$65536)</f>
        <v>0</v>
      </c>
      <c r="AP64" s="84"/>
      <c r="AQ64" s="85">
        <f>SUMIF([3]Savings!B$1:B$65536,A64,[3]Savings!H$1:H$65536)</f>
        <v>0</v>
      </c>
      <c r="AR64" s="84"/>
      <c r="AS64" s="76"/>
      <c r="AU64" s="76">
        <f t="shared" si="13"/>
        <v>1000</v>
      </c>
    </row>
    <row r="65" spans="1:47" ht="18" customHeight="1" x14ac:dyDescent="0.25">
      <c r="A65" s="77" t="s">
        <v>114</v>
      </c>
      <c r="B65" s="78">
        <v>212000</v>
      </c>
      <c r="C65" s="78"/>
      <c r="D65" s="78">
        <v>160</v>
      </c>
      <c r="E65" s="79"/>
      <c r="F65" s="80"/>
      <c r="G65" s="81">
        <f>SUMIF('[3]NON DEV NON DEL '!A$1:A$65536,A65,'[3]NON DEV NON DEL '!J$1:J$65536)/1000</f>
        <v>212.16</v>
      </c>
      <c r="H65" s="82"/>
      <c r="I65" s="83">
        <f>SUM('[3]NON DEV NON DEL '!L11:O11)/1000</f>
        <v>0</v>
      </c>
      <c r="J65" s="84"/>
      <c r="K65" s="83">
        <f>SUM('[3]NON DEV NON DEL '!P11:S11)/1000</f>
        <v>0</v>
      </c>
      <c r="L65" s="96"/>
      <c r="M65" s="81">
        <f t="shared" ref="M65:M70" si="14">(G65+I65+K65)*1%</f>
        <v>2.1215999999999999</v>
      </c>
      <c r="O65" s="76">
        <f t="shared" si="9"/>
        <v>214.2816</v>
      </c>
      <c r="Q65" s="83">
        <f>SUMIF([3]Adjustments!B$1:B$65536,A65,[3]Adjustments!E$1:E$65536)</f>
        <v>0</v>
      </c>
      <c r="R65" s="84"/>
      <c r="S65" s="85">
        <f>SUMIF([3]Savings!B$1:B$65536,A65,[3]Savings!E$1:E$65536)</f>
        <v>0</v>
      </c>
      <c r="T65" s="84"/>
      <c r="U65" s="81">
        <f t="shared" ref="U65:U70" si="15">(O65+Q65+S65)*2%</f>
        <v>4.2856319999999997</v>
      </c>
      <c r="W65" s="76">
        <f t="shared" si="10"/>
        <v>218.56723199999999</v>
      </c>
      <c r="Y65" s="85">
        <f>SUMIF([3]Adjustments!B$1:B$65536,A65,[3]Adjustments!F$1:F$65536)</f>
        <v>0</v>
      </c>
      <c r="Z65" s="84"/>
      <c r="AA65" s="85">
        <f>SUMIF([3]Savings!B$1:B$65536,A65,[3]Savings!F$1:F$65536)</f>
        <v>0</v>
      </c>
      <c r="AB65" s="84"/>
      <c r="AC65" s="81">
        <f t="shared" ref="AC65:AC70" si="16">(W65+Y65+AA65)*2%</f>
        <v>4.3713446400000002</v>
      </c>
      <c r="AE65" s="76">
        <f t="shared" si="11"/>
        <v>222.93857663999998</v>
      </c>
      <c r="AG65" s="85">
        <f>SUMIF([3]Adjustments!B$1:B$65536,A65,[3]Adjustments!G$1:G$65536)</f>
        <v>0</v>
      </c>
      <c r="AH65" s="84"/>
      <c r="AI65" s="85">
        <f>SUMIF([3]Savings!B$1:B$65536,A65,[3]Savings!G$1:G$65536)</f>
        <v>0</v>
      </c>
      <c r="AJ65" s="84"/>
      <c r="AK65" s="81">
        <f t="shared" ref="AK65:AK70" si="17">(AE65+AG65+AI65)*2%</f>
        <v>4.4587715327999993</v>
      </c>
      <c r="AM65" s="76">
        <f t="shared" si="12"/>
        <v>227.39734817279998</v>
      </c>
      <c r="AO65" s="85">
        <f>SUMIF([3]Adjustments!B$1:B$65536,A65,[3]Adjustments!H$1:H$65536)</f>
        <v>0</v>
      </c>
      <c r="AP65" s="84"/>
      <c r="AQ65" s="85">
        <f>SUMIF([3]Savings!B$1:B$65536,A65,[3]Savings!H$1:H$65536)</f>
        <v>0</v>
      </c>
      <c r="AR65" s="84"/>
      <c r="AS65" s="76"/>
      <c r="AU65" s="76">
        <f t="shared" si="13"/>
        <v>227.39734817279998</v>
      </c>
    </row>
    <row r="66" spans="1:47" ht="18" customHeight="1" x14ac:dyDescent="0.25">
      <c r="A66" s="77" t="s">
        <v>115</v>
      </c>
      <c r="B66" s="78">
        <v>1841000</v>
      </c>
      <c r="C66" s="78"/>
      <c r="D66" s="78">
        <v>-52190</v>
      </c>
      <c r="E66" s="79"/>
      <c r="F66" s="80"/>
      <c r="G66" s="81">
        <f>SUMIF('[3]NON DEV NON DEL '!A$1:A$65536,A66,'[3]NON DEV NON DEL '!J$1:J$65536)/1000</f>
        <v>1788.81</v>
      </c>
      <c r="H66" s="82"/>
      <c r="I66" s="83">
        <f>SUM('[3]NON DEV NON DEL '!L12:O18)/1000+SUM('[3]NON DEV NON DEL '!L22:O22)/1000</f>
        <v>0</v>
      </c>
      <c r="J66" s="84"/>
      <c r="K66" s="83">
        <f>SUM('[3]NON DEV NON DEL '!P12:S18)/1000+SUM('[3]NON DEV NON DEL '!P22:S22)/1000</f>
        <v>46.084999999999994</v>
      </c>
      <c r="L66" s="96"/>
      <c r="M66" s="81">
        <f t="shared" si="14"/>
        <v>18.348949999999999</v>
      </c>
      <c r="O66" s="76">
        <f t="shared" si="9"/>
        <v>1853.24395</v>
      </c>
      <c r="Q66" s="83">
        <f>SUMIF([3]Adjustments!B$1:B$65536,A66,[3]Adjustments!E$1:E$65536)</f>
        <v>0</v>
      </c>
      <c r="R66" s="84"/>
      <c r="S66" s="85">
        <f>SUMIF([3]Savings!B$1:B$65536,A66,[3]Savings!E$1:E$65536)</f>
        <v>0</v>
      </c>
      <c r="T66" s="84"/>
      <c r="U66" s="81">
        <f t="shared" si="15"/>
        <v>37.064879000000005</v>
      </c>
      <c r="W66" s="76">
        <f t="shared" si="10"/>
        <v>1890.3088290000001</v>
      </c>
      <c r="Y66" s="85">
        <f>SUMIF([3]Adjustments!B$1:B$65536,A66,[3]Adjustments!F$1:F$65536)</f>
        <v>0</v>
      </c>
      <c r="Z66" s="84"/>
      <c r="AA66" s="85">
        <f>SUMIF([3]Savings!B$1:B$65536,A66,[3]Savings!F$1:F$65536)</f>
        <v>0</v>
      </c>
      <c r="AB66" s="84"/>
      <c r="AC66" s="81">
        <f t="shared" si="16"/>
        <v>37.806176579999999</v>
      </c>
      <c r="AE66" s="76">
        <f>SUM(W66:AC66)</f>
        <v>1928.1150055800001</v>
      </c>
      <c r="AG66" s="85">
        <f>SUMIF([3]Adjustments!B$1:B$65536,A66,[3]Adjustments!G$1:G$65536)</f>
        <v>0</v>
      </c>
      <c r="AH66" s="84"/>
      <c r="AI66" s="85">
        <f>SUMIF([3]Savings!B$1:B$65536,A66,[3]Savings!G$1:G$65536)</f>
        <v>0</v>
      </c>
      <c r="AJ66" s="84"/>
      <c r="AK66" s="81">
        <f t="shared" si="17"/>
        <v>38.562300111600003</v>
      </c>
      <c r="AM66" s="76">
        <f t="shared" si="12"/>
        <v>1966.6773056916002</v>
      </c>
      <c r="AO66" s="85">
        <f>SUMIF([3]Adjustments!B$1:B$65536,A66,[3]Adjustments!H$1:H$65536)</f>
        <v>0</v>
      </c>
      <c r="AP66" s="84"/>
      <c r="AQ66" s="85">
        <f>SUMIF([3]Savings!B$1:B$65536,A66,[3]Savings!H$1:H$65536)</f>
        <v>0</v>
      </c>
      <c r="AR66" s="84"/>
      <c r="AS66" s="76"/>
      <c r="AU66" s="76">
        <f t="shared" si="13"/>
        <v>1966.6773056916002</v>
      </c>
    </row>
    <row r="67" spans="1:47" ht="18" customHeight="1" x14ac:dyDescent="0.25">
      <c r="A67" s="77" t="s">
        <v>116</v>
      </c>
      <c r="B67" s="78">
        <v>141000</v>
      </c>
      <c r="C67" s="78"/>
      <c r="D67" s="78">
        <v>-240</v>
      </c>
      <c r="E67" s="79"/>
      <c r="F67" s="80"/>
      <c r="G67" s="81">
        <f>SUMIF('[3]NON DEV NON DEL '!A$1:A$65536,A67,'[3]NON DEV NON DEL '!J$1:J$65536)/1000</f>
        <v>140.76</v>
      </c>
      <c r="H67" s="82"/>
      <c r="I67" s="83">
        <f>SUM('[3]NON DEV NON DEL '!L33:O33)/1000</f>
        <v>0</v>
      </c>
      <c r="J67" s="84"/>
      <c r="K67" s="83">
        <f>SUM('[3]NON DEV NON DEL '!P33:S33)/1000</f>
        <v>-40.26</v>
      </c>
      <c r="L67" s="96"/>
      <c r="M67" s="81">
        <f t="shared" si="14"/>
        <v>1.0050000000000001</v>
      </c>
      <c r="O67" s="76">
        <f t="shared" si="9"/>
        <v>101.505</v>
      </c>
      <c r="Q67" s="83">
        <f>SUMIF([3]Adjustments!B$1:B$65536,A67,[3]Adjustments!E$1:E$65536)</f>
        <v>0</v>
      </c>
      <c r="R67" s="84"/>
      <c r="S67" s="85">
        <f>SUMIF([3]Savings!B$1:B$65536,A67,[3]Savings!E$1:E$65536)</f>
        <v>0</v>
      </c>
      <c r="T67" s="84"/>
      <c r="U67" s="81">
        <f t="shared" si="15"/>
        <v>2.0301</v>
      </c>
      <c r="W67" s="76">
        <f t="shared" si="10"/>
        <v>103.5351</v>
      </c>
      <c r="Y67" s="85">
        <f>SUMIF([3]Adjustments!B$1:B$65536,A67,[3]Adjustments!F$1:F$65536)</f>
        <v>0</v>
      </c>
      <c r="Z67" s="84"/>
      <c r="AA67" s="85">
        <f>SUMIF([3]Savings!B$1:B$65536,A67,[3]Savings!F$1:F$65536)</f>
        <v>0</v>
      </c>
      <c r="AB67" s="84"/>
      <c r="AC67" s="81">
        <f t="shared" si="16"/>
        <v>2.0707019999999998</v>
      </c>
      <c r="AE67" s="76">
        <f t="shared" si="11"/>
        <v>105.605802</v>
      </c>
      <c r="AG67" s="85">
        <f>SUMIF([3]Adjustments!B$1:B$65536,A67,[3]Adjustments!G$1:G$65536)</f>
        <v>0</v>
      </c>
      <c r="AH67" s="84"/>
      <c r="AI67" s="85">
        <f>SUMIF([3]Savings!B$1:B$65536,A67,[3]Savings!G$1:G$65536)</f>
        <v>0</v>
      </c>
      <c r="AJ67" s="84"/>
      <c r="AK67" s="81">
        <f t="shared" si="17"/>
        <v>2.1121160400000001</v>
      </c>
      <c r="AM67" s="76">
        <f t="shared" si="12"/>
        <v>107.71791804</v>
      </c>
      <c r="AO67" s="85">
        <f>SUMIF([3]Adjustments!B$1:B$65536,A67,[3]Adjustments!H$1:H$65536)</f>
        <v>0</v>
      </c>
      <c r="AP67" s="84"/>
      <c r="AQ67" s="85">
        <f>SUMIF([3]Savings!B$1:B$65536,A67,[3]Savings!H$1:H$65536)</f>
        <v>0</v>
      </c>
      <c r="AR67" s="84"/>
      <c r="AS67" s="76"/>
      <c r="AU67" s="76">
        <f t="shared" si="13"/>
        <v>107.71791804</v>
      </c>
    </row>
    <row r="68" spans="1:47" ht="18" customHeight="1" x14ac:dyDescent="0.25">
      <c r="A68" s="77" t="s">
        <v>117</v>
      </c>
      <c r="B68" s="78">
        <v>837000</v>
      </c>
      <c r="C68" s="78"/>
      <c r="D68" s="78">
        <v>420</v>
      </c>
      <c r="E68" s="79"/>
      <c r="F68" s="80"/>
      <c r="G68" s="81">
        <f>SUMIF('[3]NON DEV NON DEL '!A$1:A$65536,A68,'[3]NON DEV NON DEL '!J$1:J$65536)/1000</f>
        <v>837.42</v>
      </c>
      <c r="H68" s="82"/>
      <c r="I68" s="83">
        <f>SUM('[3]NON DEV NON DEL '!L32:O32)/1000</f>
        <v>0</v>
      </c>
      <c r="J68" s="84"/>
      <c r="K68" s="83">
        <f>SUM('[3]NON DEV NON DEL '!P32:S32)/1000</f>
        <v>-0.5</v>
      </c>
      <c r="L68" s="96"/>
      <c r="M68" s="81">
        <f t="shared" si="14"/>
        <v>8.3691999999999993</v>
      </c>
      <c r="O68" s="76">
        <f t="shared" si="9"/>
        <v>845.28919999999994</v>
      </c>
      <c r="Q68" s="83">
        <f>SUMIF([3]Adjustments!B$1:B$65536,A68,[3]Adjustments!E$1:E$65536)</f>
        <v>0</v>
      </c>
      <c r="R68" s="84"/>
      <c r="S68" s="85">
        <f>SUMIF([3]Savings!B$1:B$65536,A68,[3]Savings!E$1:E$65536)</f>
        <v>0</v>
      </c>
      <c r="T68" s="84"/>
      <c r="U68" s="81">
        <f t="shared" si="15"/>
        <v>16.905784000000001</v>
      </c>
      <c r="W68" s="76">
        <f t="shared" si="10"/>
        <v>862.19498399999998</v>
      </c>
      <c r="Y68" s="85">
        <f>SUMIF([3]Adjustments!B$1:B$65536,A68,[3]Adjustments!F$1:F$65536)</f>
        <v>0</v>
      </c>
      <c r="Z68" s="84"/>
      <c r="AA68" s="85">
        <f>SUMIF([3]Savings!B$1:B$65536,A68,[3]Savings!F$1:F$65536)</f>
        <v>0</v>
      </c>
      <c r="AB68" s="84"/>
      <c r="AC68" s="81">
        <f t="shared" si="16"/>
        <v>17.243899679999998</v>
      </c>
      <c r="AE68" s="76">
        <f t="shared" si="11"/>
        <v>879.43888368</v>
      </c>
      <c r="AG68" s="85">
        <f>SUMIF([3]Adjustments!B$1:B$65536,A68,[3]Adjustments!G$1:G$65536)</f>
        <v>0</v>
      </c>
      <c r="AH68" s="84"/>
      <c r="AI68" s="85">
        <f>SUMIF([3]Savings!B$1:B$65536,A68,[3]Savings!G$1:G$65536)</f>
        <v>0</v>
      </c>
      <c r="AJ68" s="84"/>
      <c r="AK68" s="81">
        <f t="shared" si="17"/>
        <v>17.588777673599999</v>
      </c>
      <c r="AM68" s="76">
        <f t="shared" si="12"/>
        <v>897.02766135360002</v>
      </c>
      <c r="AO68" s="85">
        <f>SUMIF([3]Adjustments!B$1:B$65536,A68,[3]Adjustments!H$1:H$65536)</f>
        <v>0</v>
      </c>
      <c r="AP68" s="84"/>
      <c r="AQ68" s="85">
        <f>SUMIF([3]Savings!B$1:B$65536,A68,[3]Savings!H$1:H$65536)</f>
        <v>0</v>
      </c>
      <c r="AR68" s="84"/>
      <c r="AS68" s="76"/>
      <c r="AU68" s="76">
        <f t="shared" si="13"/>
        <v>897.02766135360002</v>
      </c>
    </row>
    <row r="69" spans="1:47" x14ac:dyDescent="0.25">
      <c r="A69" s="77" t="s">
        <v>118</v>
      </c>
      <c r="B69" s="78">
        <v>4146000</v>
      </c>
      <c r="C69" s="78"/>
      <c r="D69" s="78">
        <v>11914512</v>
      </c>
      <c r="E69" s="79"/>
      <c r="F69" s="80"/>
      <c r="G69" s="81">
        <f>SUMIF('[3]NON DEV NON DEL '!A$1:A$65536,A69,'[3]NON DEV NON DEL '!J$1:J$65536)/1000</f>
        <v>16060.512000000001</v>
      </c>
      <c r="H69" s="82"/>
      <c r="I69" s="83">
        <f>SUM('[3]NON DEV NON DEL '!L4:O10)/1000+SUM('[3]NON DEV NON DEL '!L26:O30)/1000+SUM('[3]NON DEV NON DEL '!L34:O49)/1000+SUM('[3]NON DEV NON DEL '!L52:O53)/1000+SUM('[3]NON DEV NON DEL '!L58:O62)/1000</f>
        <v>-7088.067</v>
      </c>
      <c r="J69" s="84"/>
      <c r="K69" s="83">
        <f>SUM('[3]NON DEV NON DEL '!P4:S10)/1000+SUM('[3]NON DEV NON DEL '!P26:S30)/1000+SUM('[3]NON DEV NON DEL '!P34:S49)/1000+SUM('[3]NON DEV NON DEL '!P52:S53)/1000+SUM('[3]NON DEV NON DEL '!P58:S62)/1000</f>
        <v>-5288.4539999999997</v>
      </c>
      <c r="L69" s="96"/>
      <c r="M69" s="81">
        <f>(G69+I69+K69)*1%-7</f>
        <v>29.839910000000003</v>
      </c>
      <c r="O69" s="76">
        <f t="shared" si="9"/>
        <v>3713.8309100000001</v>
      </c>
      <c r="Q69" s="83">
        <f>SUMIF([3]Adjustments!B$1:B$65536,A69,[3]Adjustments!E$1:E$65536)</f>
        <v>6554.357</v>
      </c>
      <c r="R69" s="84"/>
      <c r="S69" s="85">
        <f>SUMIF([3]Savings!B$1:B$65536,A69,[3]Savings!E$1:E$65536)</f>
        <v>0</v>
      </c>
      <c r="T69" s="84"/>
      <c r="U69" s="81">
        <f t="shared" si="15"/>
        <v>205.36375820000001</v>
      </c>
      <c r="W69" s="76">
        <f>SUM(O69:U69)</f>
        <v>10473.5516682</v>
      </c>
      <c r="Y69" s="85">
        <f>SUMIF([3]Adjustments!B$1:B$65536,A69,[3]Adjustments!F$1:F$65536)</f>
        <v>0</v>
      </c>
      <c r="Z69" s="84"/>
      <c r="AA69" s="85">
        <f>SUMIF([3]Savings!B$1:B$65536,A69,[3]Savings!F$1:F$65536)</f>
        <v>0</v>
      </c>
      <c r="AB69" s="84"/>
      <c r="AC69" s="81">
        <f t="shared" si="16"/>
        <v>209.47103336399999</v>
      </c>
      <c r="AE69" s="76">
        <f t="shared" si="11"/>
        <v>10683.022701563999</v>
      </c>
      <c r="AG69" s="85">
        <f>SUMIF([3]Adjustments!B$1:B$65536,A69,[3]Adjustments!G$1:G$65536)</f>
        <v>0</v>
      </c>
      <c r="AH69" s="84"/>
      <c r="AI69" s="85">
        <f>SUMIF([3]Savings!B$1:B$65536,A69,[3]Savings!G$1:G$65536)</f>
        <v>0</v>
      </c>
      <c r="AJ69" s="84"/>
      <c r="AK69" s="81">
        <f t="shared" si="17"/>
        <v>213.66045403127998</v>
      </c>
      <c r="AM69" s="76">
        <f t="shared" si="12"/>
        <v>10896.683155595279</v>
      </c>
      <c r="AO69" s="85">
        <f>SUMIF([3]Adjustments!B$1:B$65536,A69,[3]Adjustments!H$1:H$65536)</f>
        <v>0</v>
      </c>
      <c r="AP69" s="84"/>
      <c r="AQ69" s="85">
        <f>SUMIF([3]Savings!B$1:B$65536,A69,[3]Savings!H$1:H$65536)</f>
        <v>0</v>
      </c>
      <c r="AR69" s="84"/>
      <c r="AS69" s="76"/>
      <c r="AU69" s="76">
        <f t="shared" si="13"/>
        <v>10896.683155595279</v>
      </c>
    </row>
    <row r="70" spans="1:47" x14ac:dyDescent="0.25">
      <c r="A70" s="77" t="s">
        <v>119</v>
      </c>
      <c r="B70" s="78">
        <v>2740000</v>
      </c>
      <c r="C70" s="78"/>
      <c r="D70" s="78">
        <v>100</v>
      </c>
      <c r="E70" s="79"/>
      <c r="F70" s="80"/>
      <c r="G70" s="81">
        <f>SUMIF('[3]NON DEV NON DEL '!A$1:A$65536,A70,'[3]NON DEV NON DEL '!J$1:J$65536)/1000</f>
        <v>2740.1</v>
      </c>
      <c r="H70" s="99"/>
      <c r="I70" s="83">
        <f>SUM('[3]NON DEV NON DEL '!L31:O31)/1000</f>
        <v>0</v>
      </c>
      <c r="J70" s="84"/>
      <c r="K70" s="83">
        <f>SUM('[3]NON DEV NON DEL '!P31:S31)/1000</f>
        <v>0</v>
      </c>
      <c r="L70" s="96"/>
      <c r="M70" s="81">
        <f t="shared" si="14"/>
        <v>27.401</v>
      </c>
      <c r="O70" s="76">
        <f t="shared" si="9"/>
        <v>2767.5009999999997</v>
      </c>
      <c r="Q70" s="83">
        <f>SUMIF([3]Adjustments!B$1:B$65536,A70,[3]Adjustments!E$1:E$65536)</f>
        <v>0</v>
      </c>
      <c r="R70" s="84"/>
      <c r="S70" s="85">
        <f>SUMIF([3]Savings!B$1:B$65536,A70,[3]Savings!E$1:E$65536)</f>
        <v>0</v>
      </c>
      <c r="T70" s="84"/>
      <c r="U70" s="81">
        <f t="shared" si="15"/>
        <v>55.350019999999994</v>
      </c>
      <c r="W70" s="76">
        <f>SUM(O70:U70)</f>
        <v>2822.8510199999996</v>
      </c>
      <c r="Y70" s="85">
        <f>SUMIF([3]Adjustments!B$1:B$65536,A70,[3]Adjustments!F$1:F$65536)</f>
        <v>0</v>
      </c>
      <c r="Z70" s="84"/>
      <c r="AA70" s="85">
        <f>SUMIF([3]Savings!B$1:B$65536,A70,[3]Savings!F$1:F$65536)</f>
        <v>0</v>
      </c>
      <c r="AB70" s="84"/>
      <c r="AC70" s="81">
        <f t="shared" si="16"/>
        <v>56.45702039999999</v>
      </c>
      <c r="AE70" s="76">
        <f t="shared" si="11"/>
        <v>2879.3080403999998</v>
      </c>
      <c r="AG70" s="85">
        <f>SUMIF([3]Adjustments!B$1:B$65536,A70,[3]Adjustments!G$1:G$65536)</f>
        <v>0</v>
      </c>
      <c r="AH70" s="84"/>
      <c r="AI70" s="85">
        <f>SUMIF([3]Savings!B$1:B$65536,A70,[3]Savings!G$1:G$65536)</f>
        <v>0</v>
      </c>
      <c r="AJ70" s="84"/>
      <c r="AK70" s="81">
        <f t="shared" si="17"/>
        <v>57.586160807999995</v>
      </c>
      <c r="AM70" s="76">
        <f t="shared" si="12"/>
        <v>2936.8942012079997</v>
      </c>
      <c r="AO70" s="85">
        <f>SUMIF([3]Adjustments!B$1:B$65536,A70,[3]Adjustments!H$1:H$65536)</f>
        <v>0</v>
      </c>
      <c r="AP70" s="84"/>
      <c r="AQ70" s="85">
        <f>SUMIF([3]Savings!B$1:B$65536,A70,[3]Savings!H$1:H$65536)</f>
        <v>0</v>
      </c>
      <c r="AR70" s="84"/>
      <c r="AS70" s="76"/>
      <c r="AU70" s="76">
        <f t="shared" si="13"/>
        <v>2936.8942012079997</v>
      </c>
    </row>
    <row r="71" spans="1:47" x14ac:dyDescent="0.25">
      <c r="A71" s="35" t="s">
        <v>105</v>
      </c>
      <c r="B71" s="78">
        <v>18989000</v>
      </c>
      <c r="C71" s="78">
        <v>0</v>
      </c>
      <c r="D71" s="78">
        <v>11862762</v>
      </c>
      <c r="E71" s="79"/>
      <c r="G71" s="81">
        <f>SUM(G62:G70)</f>
        <v>30851.761999999999</v>
      </c>
      <c r="H71" s="82"/>
      <c r="I71" s="81">
        <f>SUM(I62:I70)</f>
        <v>-534.06700000000001</v>
      </c>
      <c r="J71" s="84"/>
      <c r="K71" s="81">
        <f>SUM(K62:K70)</f>
        <v>-5469.1289999999999</v>
      </c>
      <c r="L71" s="96"/>
      <c r="M71" s="81">
        <f>SUM(M62:M70)</f>
        <v>87.085660000000004</v>
      </c>
      <c r="O71" s="81">
        <f>SUM(O62:O70)</f>
        <v>24935.65166</v>
      </c>
      <c r="Q71" s="81">
        <f>SUM(Q62:Q70)</f>
        <v>0.3569999999999709</v>
      </c>
      <c r="R71" s="84"/>
      <c r="S71" s="81">
        <f>SUM(S62:S70)</f>
        <v>0</v>
      </c>
      <c r="T71" s="84"/>
      <c r="U71" s="81">
        <f>SUM(U62:U70)</f>
        <v>321.00017319999995</v>
      </c>
      <c r="W71" s="81">
        <f>SUM(W62:W70)</f>
        <v>25257.008833199998</v>
      </c>
      <c r="Y71" s="81">
        <f>SUM(Y62:Y70)</f>
        <v>0</v>
      </c>
      <c r="Z71" s="84"/>
      <c r="AA71" s="81">
        <f>SUM(AA62:AA70)</f>
        <v>0</v>
      </c>
      <c r="AB71" s="84"/>
      <c r="AC71" s="81">
        <f>SUM(AC62:AC70)</f>
        <v>327.42017666399994</v>
      </c>
      <c r="AE71" s="81">
        <f>SUM(AE62:AE70)</f>
        <v>25584.429009863998</v>
      </c>
      <c r="AG71" s="81">
        <f>SUM(AG62:AG70)</f>
        <v>0</v>
      </c>
      <c r="AH71" s="84"/>
      <c r="AI71" s="81">
        <f>SUM(AI62:AI70)</f>
        <v>0</v>
      </c>
      <c r="AJ71" s="84"/>
      <c r="AK71" s="81">
        <f>SUM(AK62:AK70)</f>
        <v>333.96858019727995</v>
      </c>
      <c r="AM71" s="81">
        <f>SUM(AM62:AM70)</f>
        <v>25918.397590061282</v>
      </c>
      <c r="AO71" s="81">
        <f>SUM(AO62:AO70)</f>
        <v>0</v>
      </c>
      <c r="AP71" s="84"/>
      <c r="AQ71" s="81">
        <f>SUM(AQ62:AQ70)</f>
        <v>0</v>
      </c>
      <c r="AR71" s="84"/>
      <c r="AS71" s="81">
        <f>SUM(AS62:AS70)</f>
        <v>0</v>
      </c>
      <c r="AU71" s="81">
        <f>SUM(AU62:AU70)</f>
        <v>25918.397590061282</v>
      </c>
    </row>
    <row r="72" spans="1:47" x14ac:dyDescent="0.25">
      <c r="B72" s="78"/>
      <c r="C72" s="78"/>
      <c r="D72" s="78"/>
      <c r="E72" s="79"/>
      <c r="G72" s="81"/>
      <c r="H72" s="82"/>
      <c r="I72" s="81"/>
      <c r="J72" s="84"/>
      <c r="K72" s="81"/>
      <c r="L72" s="96"/>
      <c r="M72" s="81"/>
      <c r="O72" s="76"/>
      <c r="Q72" s="76"/>
      <c r="R72" s="84"/>
      <c r="S72" s="76"/>
      <c r="T72" s="84"/>
      <c r="U72" s="76"/>
      <c r="W72" s="76"/>
      <c r="Y72" s="76"/>
      <c r="Z72" s="84"/>
      <c r="AA72" s="76"/>
      <c r="AB72" s="84"/>
      <c r="AC72" s="76"/>
      <c r="AE72" s="76"/>
      <c r="AG72" s="76"/>
      <c r="AH72" s="84"/>
      <c r="AI72" s="76"/>
      <c r="AJ72" s="84"/>
      <c r="AK72" s="76"/>
      <c r="AM72" s="76"/>
      <c r="AO72" s="76"/>
      <c r="AP72" s="84"/>
      <c r="AQ72" s="76"/>
      <c r="AR72" s="84"/>
      <c r="AS72" s="76"/>
      <c r="AU72" s="76"/>
    </row>
    <row r="73" spans="1:47" x14ac:dyDescent="0.25">
      <c r="A73" s="87" t="s">
        <v>106</v>
      </c>
      <c r="B73" s="78"/>
      <c r="C73" s="78"/>
      <c r="D73" s="78"/>
      <c r="E73" s="79"/>
      <c r="G73" s="81"/>
      <c r="H73" s="82"/>
      <c r="I73" s="81"/>
      <c r="J73" s="84"/>
      <c r="K73" s="81"/>
      <c r="L73" s="96"/>
      <c r="M73" s="81"/>
      <c r="O73" s="76"/>
      <c r="Q73" s="76"/>
      <c r="R73" s="84"/>
      <c r="S73" s="76"/>
      <c r="T73" s="84"/>
      <c r="U73" s="76"/>
      <c r="W73" s="76"/>
      <c r="Y73" s="76"/>
      <c r="Z73" s="84"/>
      <c r="AA73" s="76"/>
      <c r="AB73" s="84"/>
      <c r="AC73" s="76"/>
      <c r="AE73" s="76"/>
      <c r="AG73" s="76"/>
      <c r="AH73" s="84"/>
      <c r="AI73" s="76"/>
      <c r="AJ73" s="84"/>
      <c r="AK73" s="76"/>
      <c r="AM73" s="76"/>
      <c r="AO73" s="76"/>
      <c r="AP73" s="84"/>
      <c r="AQ73" s="76"/>
      <c r="AR73" s="84"/>
      <c r="AS73" s="76"/>
      <c r="AU73" s="76"/>
    </row>
    <row r="74" spans="1:47" x14ac:dyDescent="0.25">
      <c r="A74" s="34" t="s">
        <v>120</v>
      </c>
      <c r="B74" s="78">
        <v>-5015000</v>
      </c>
      <c r="C74" s="78"/>
      <c r="D74" s="78">
        <v>107150</v>
      </c>
      <c r="E74" s="79"/>
      <c r="F74" s="100"/>
      <c r="G74" s="81">
        <f>SUMIF('[3]NON DEV NON DEL '!A$1:A$65536,A74,'[3]NON DEV NON DEL '!J$1:J$65536)/1000</f>
        <v>-4907.8500000000004</v>
      </c>
      <c r="H74" s="82"/>
      <c r="I74" s="83">
        <f>SUM('[3]NON DEV NON DEL '!L76:O103)/1000</f>
        <v>0</v>
      </c>
      <c r="J74" s="84"/>
      <c r="K74" s="83">
        <f>SUM('[3]NON DEV NON DEL '!P76:S103)/1000</f>
        <v>196.78</v>
      </c>
      <c r="L74" s="96"/>
      <c r="M74" s="81">
        <f>(G74+I74+K74)*1%</f>
        <v>-47.110700000000008</v>
      </c>
      <c r="O74" s="76">
        <f t="shared" si="9"/>
        <v>-4758.1807000000008</v>
      </c>
      <c r="Q74" s="83">
        <f>SUMIF([3]Adjustments!B$1:B$65536,A74,[3]Adjustments!E$1:E$65536)</f>
        <v>0</v>
      </c>
      <c r="R74" s="84"/>
      <c r="S74" s="85">
        <f>SUMIF([3]Savings!B$1:B$65536,A74,[3]Savings!E$1:E$65536)</f>
        <v>0</v>
      </c>
      <c r="T74" s="84"/>
      <c r="U74" s="81">
        <f>(O74+Q74+S74)*2%</f>
        <v>-95.163614000000024</v>
      </c>
      <c r="W74" s="76">
        <f t="shared" si="10"/>
        <v>-4853.3443140000008</v>
      </c>
      <c r="Y74" s="85">
        <f>SUMIF([3]Adjustments!B$1:B$65536,A74,[3]Adjustments!F$1:F$65536)</f>
        <v>0</v>
      </c>
      <c r="Z74" s="84"/>
      <c r="AA74" s="85">
        <f>SUMIF([3]Savings!B$1:B$65536,A74,[3]Savings!F$1:F$65536)</f>
        <v>0</v>
      </c>
      <c r="AB74" s="84"/>
      <c r="AC74" s="81">
        <f>(W74+Y74+AA74)*2%</f>
        <v>-97.06688628000002</v>
      </c>
      <c r="AE74" s="76">
        <f t="shared" si="11"/>
        <v>-4950.4112002800011</v>
      </c>
      <c r="AG74" s="85">
        <f>SUMIF([3]Adjustments!B$1:B$65536,A74,[3]Adjustments!G$1:G$65536)</f>
        <v>0</v>
      </c>
      <c r="AH74" s="84"/>
      <c r="AI74" s="85">
        <f>SUMIF([3]Savings!B$1:B$65536,A74,[3]Savings!G$1:G$65536)</f>
        <v>0</v>
      </c>
      <c r="AJ74" s="84"/>
      <c r="AK74" s="81">
        <f>(AE74+AG74+AI74)*2%</f>
        <v>-99.008224005600027</v>
      </c>
      <c r="AM74" s="76">
        <f t="shared" si="12"/>
        <v>-5049.4194242856011</v>
      </c>
      <c r="AO74" s="85">
        <f>SUMIF([3]Adjustments!B$1:B$65536,A74,[3]Adjustments!H$1:H$65536)</f>
        <v>0</v>
      </c>
      <c r="AP74" s="84"/>
      <c r="AQ74" s="85">
        <f>SUMIF([3]Savings!B$1:B$65536,A74,[3]Savings!H$1:H$65536)</f>
        <v>0</v>
      </c>
      <c r="AR74" s="84"/>
      <c r="AS74" s="76">
        <v>0</v>
      </c>
      <c r="AU74" s="76">
        <f t="shared" si="13"/>
        <v>-5049.4194242856011</v>
      </c>
    </row>
    <row r="75" spans="1:47" x14ac:dyDescent="0.25">
      <c r="A75" s="34"/>
      <c r="B75" s="89"/>
      <c r="C75" s="78"/>
      <c r="D75" s="89"/>
      <c r="E75" s="33"/>
      <c r="F75" s="100"/>
      <c r="G75" s="76"/>
      <c r="I75" s="76"/>
      <c r="J75" s="84"/>
      <c r="K75" s="81"/>
      <c r="L75" s="96"/>
      <c r="M75" s="81"/>
      <c r="O75" s="76"/>
      <c r="Q75" s="76"/>
      <c r="R75" s="84"/>
      <c r="S75" s="76"/>
      <c r="T75" s="84"/>
      <c r="U75" s="76"/>
      <c r="W75" s="76"/>
      <c r="Y75" s="76"/>
      <c r="Z75" s="84"/>
      <c r="AA75" s="76"/>
      <c r="AB75" s="84"/>
      <c r="AC75" s="76"/>
      <c r="AE75" s="76"/>
      <c r="AG75" s="76"/>
      <c r="AH75" s="84"/>
      <c r="AI75" s="76"/>
      <c r="AJ75" s="84"/>
      <c r="AK75" s="76"/>
      <c r="AM75" s="76"/>
      <c r="AO75" s="76"/>
      <c r="AP75" s="84"/>
      <c r="AQ75" s="76"/>
      <c r="AR75" s="84"/>
      <c r="AS75" s="76"/>
      <c r="AU75" s="76"/>
    </row>
    <row r="76" spans="1:47" ht="18.75" thickBot="1" x14ac:dyDescent="0.3">
      <c r="A76" s="90" t="s">
        <v>121</v>
      </c>
      <c r="B76" s="94">
        <v>21969000</v>
      </c>
      <c r="C76" s="78">
        <v>0</v>
      </c>
      <c r="D76" s="94">
        <v>11969544</v>
      </c>
      <c r="E76" s="33"/>
      <c r="F76" s="92"/>
      <c r="G76" s="95">
        <f>G59+G71+G74</f>
        <v>33938.544000000002</v>
      </c>
      <c r="H76" s="95"/>
      <c r="I76" s="95">
        <f>I59+I71+I74</f>
        <v>-534.06700000000001</v>
      </c>
      <c r="J76" s="84"/>
      <c r="K76" s="95">
        <f>K59+K71+K74</f>
        <v>-5631.7690000000002</v>
      </c>
      <c r="L76" s="101" t="s">
        <v>1</v>
      </c>
      <c r="M76" s="95">
        <f>M59+M71+M74</f>
        <v>116.32708</v>
      </c>
      <c r="N76" s="102" t="s">
        <v>1</v>
      </c>
      <c r="O76" s="95">
        <f>O59+O71+O74</f>
        <v>27889.035079999998</v>
      </c>
      <c r="P76" s="102"/>
      <c r="Q76" s="95">
        <f>Q59+Q71+Q74</f>
        <v>0.3569999999999709</v>
      </c>
      <c r="R76" s="95"/>
      <c r="S76" s="95">
        <f>S59+S71+S74</f>
        <v>0</v>
      </c>
      <c r="T76" s="95"/>
      <c r="U76" s="95">
        <f>U59+U71+U74</f>
        <v>302.95220039999992</v>
      </c>
      <c r="V76" s="95"/>
      <c r="W76" s="95">
        <f>W59+W71+W74</f>
        <v>28192.344280399993</v>
      </c>
      <c r="Y76" s="95">
        <f>Y59+Y71+Y74</f>
        <v>0</v>
      </c>
      <c r="Z76" s="95"/>
      <c r="AA76" s="95">
        <f>AA59+AA71+AA74</f>
        <v>0</v>
      </c>
      <c r="AB76" s="95"/>
      <c r="AC76" s="95">
        <f>AC59+AC71+AC74</f>
        <v>308.24008799599994</v>
      </c>
      <c r="AD76" s="95"/>
      <c r="AE76" s="95">
        <f>AE59+AE71+AE74</f>
        <v>28500.58436839599</v>
      </c>
      <c r="AG76" s="95">
        <f>AG59+AG71+AG74</f>
        <v>0</v>
      </c>
      <c r="AH76" s="95"/>
      <c r="AI76" s="95">
        <f>AI59+AI71+AI74</f>
        <v>0</v>
      </c>
      <c r="AJ76" s="95"/>
      <c r="AK76" s="95">
        <f>AK59+AK71+AK74</f>
        <v>313.62602177979988</v>
      </c>
      <c r="AL76" s="102"/>
      <c r="AM76" s="95">
        <f>AM59+AM71+AM74</f>
        <v>28814.210390175795</v>
      </c>
      <c r="AO76" s="95">
        <f>AO59+AO71+AO74</f>
        <v>0</v>
      </c>
      <c r="AP76" s="95"/>
      <c r="AQ76" s="95">
        <f>AQ59+AQ71+AQ74</f>
        <v>0</v>
      </c>
      <c r="AR76" s="95"/>
      <c r="AS76" s="95">
        <f>AS59+AS71+AS74</f>
        <v>0</v>
      </c>
      <c r="AT76" s="95"/>
      <c r="AU76" s="95">
        <f>AU59+AU71+AU74</f>
        <v>28814.210390175795</v>
      </c>
    </row>
    <row r="77" spans="1:47" ht="18.75" thickBot="1" x14ac:dyDescent="0.3">
      <c r="B77" s="103"/>
      <c r="C77" s="78"/>
      <c r="D77" s="103"/>
      <c r="E77" s="33"/>
      <c r="G77" s="62"/>
      <c r="H77" s="61"/>
      <c r="I77" s="62"/>
      <c r="J77" s="84"/>
      <c r="K77" s="62"/>
      <c r="L77" s="61"/>
      <c r="M77" s="62"/>
      <c r="O77" s="62"/>
      <c r="P77" s="64"/>
      <c r="Q77" s="62"/>
      <c r="R77" s="61"/>
      <c r="S77" s="62"/>
      <c r="T77" s="61"/>
      <c r="U77" s="62"/>
      <c r="W77" s="62"/>
      <c r="Y77" s="62"/>
      <c r="Z77" s="61"/>
      <c r="AA77" s="62"/>
      <c r="AB77" s="61"/>
      <c r="AC77" s="62"/>
      <c r="AE77" s="62"/>
      <c r="AG77" s="62"/>
      <c r="AH77" s="61"/>
      <c r="AI77" s="62"/>
      <c r="AJ77" s="61"/>
      <c r="AK77" s="62"/>
      <c r="AM77" s="62"/>
      <c r="AO77" s="62"/>
      <c r="AP77" s="61"/>
      <c r="AQ77" s="62"/>
      <c r="AR77" s="61"/>
      <c r="AS77" s="62"/>
      <c r="AU77" s="62"/>
    </row>
    <row r="78" spans="1:47" ht="7.5" customHeight="1" x14ac:dyDescent="0.25">
      <c r="A78" s="104"/>
      <c r="B78" s="33"/>
      <c r="C78" s="78"/>
      <c r="D78" s="33"/>
      <c r="E78" s="33"/>
      <c r="F78" s="74"/>
      <c r="J78" s="84"/>
    </row>
    <row r="79" spans="1:47" ht="8.25" customHeight="1" thickBot="1" x14ac:dyDescent="0.3">
      <c r="B79" s="105"/>
      <c r="C79" s="78"/>
      <c r="D79" s="105"/>
      <c r="E79" s="69"/>
      <c r="G79" s="106"/>
      <c r="H79" s="61"/>
      <c r="I79" s="107"/>
      <c r="J79" s="61"/>
      <c r="K79" s="106"/>
      <c r="L79" s="61"/>
      <c r="M79" s="107"/>
      <c r="O79" s="106"/>
      <c r="P79" s="64"/>
      <c r="Q79" s="107"/>
      <c r="R79" s="61"/>
      <c r="S79" s="106"/>
      <c r="T79" s="61"/>
      <c r="U79" s="107"/>
      <c r="W79" s="106"/>
      <c r="Y79" s="107"/>
      <c r="Z79" s="61"/>
      <c r="AA79" s="106"/>
      <c r="AB79" s="61"/>
      <c r="AC79" s="107"/>
      <c r="AE79" s="106"/>
      <c r="AG79" s="107"/>
      <c r="AH79" s="61"/>
      <c r="AI79" s="106"/>
      <c r="AJ79" s="61"/>
      <c r="AK79" s="107"/>
      <c r="AM79" s="106"/>
      <c r="AO79" s="107"/>
      <c r="AP79" s="61"/>
      <c r="AQ79" s="106"/>
      <c r="AR79" s="61"/>
      <c r="AS79" s="107"/>
      <c r="AU79" s="106"/>
    </row>
    <row r="80" spans="1:47" ht="26.25" customHeight="1" thickBot="1" x14ac:dyDescent="0.3">
      <c r="A80" s="108" t="s">
        <v>122</v>
      </c>
      <c r="B80" s="109">
        <v>396370</v>
      </c>
      <c r="C80" s="81"/>
      <c r="D80" s="109">
        <v>3359</v>
      </c>
      <c r="F80" s="110"/>
      <c r="G80" s="109">
        <f>G76+G52</f>
        <v>399729.30680999992</v>
      </c>
      <c r="I80" s="109">
        <f>I76+I52</f>
        <v>19000.286868000003</v>
      </c>
      <c r="K80" s="109">
        <f>K76+K52</f>
        <v>-21927.616199999997</v>
      </c>
      <c r="M80" s="109">
        <f>M76+M52</f>
        <v>3415.8344445063549</v>
      </c>
      <c r="N80" s="63" t="s">
        <v>1</v>
      </c>
      <c r="O80" s="109">
        <f>O76+O52</f>
        <v>400217.81192250637</v>
      </c>
      <c r="Q80" s="109">
        <f>Q76+Q52</f>
        <v>20152.997458333335</v>
      </c>
      <c r="S80" s="109">
        <f>S76+S52</f>
        <v>-14521.556999999999</v>
      </c>
      <c r="U80" s="109">
        <f>U76+U52</f>
        <v>4195.9708306341963</v>
      </c>
      <c r="W80" s="109">
        <f>W76+W52</f>
        <v>410045.22321147379</v>
      </c>
      <c r="Y80" s="109">
        <f>Y76+Y52</f>
        <v>18029.404137500002</v>
      </c>
      <c r="AA80" s="109">
        <f>AA81+AA52</f>
        <v>-14940.215900000003</v>
      </c>
      <c r="AC80" s="109">
        <f>AC76+AC52</f>
        <v>4252.1371874520537</v>
      </c>
      <c r="AE80" s="109">
        <f>AE76+AE52</f>
        <v>417386.54863642581</v>
      </c>
      <c r="AG80" s="109">
        <f>AG76+AG52</f>
        <v>14274.114819024999</v>
      </c>
      <c r="AI80" s="109">
        <f>AI76+AI52</f>
        <v>-14085.573322000002</v>
      </c>
      <c r="AK80" s="109">
        <f>AK76+AK52</f>
        <v>4308.357035756072</v>
      </c>
      <c r="AM80" s="109">
        <f>AM76+AM52</f>
        <v>421883.44716920692</v>
      </c>
      <c r="AO80" s="109">
        <f>AO76+AO52</f>
        <v>-762</v>
      </c>
      <c r="AQ80" s="109">
        <f>AQ76+AQ52</f>
        <v>0</v>
      </c>
      <c r="AS80" s="109">
        <f>AS76+AS52</f>
        <v>0</v>
      </c>
      <c r="AU80" s="109">
        <f>AU76+AU52</f>
        <v>421121.44716920704</v>
      </c>
    </row>
    <row r="81" spans="1:48" ht="18.75" thickTop="1" x14ac:dyDescent="0.25">
      <c r="A81" s="66"/>
      <c r="B81" s="73"/>
      <c r="C81" s="78"/>
      <c r="D81" s="73"/>
      <c r="E81" s="69"/>
      <c r="F81" s="68"/>
      <c r="G81" s="75"/>
      <c r="I81" s="75"/>
      <c r="K81" s="75"/>
      <c r="M81" s="75"/>
      <c r="O81" s="75"/>
      <c r="Q81" s="75"/>
      <c r="S81" s="75"/>
      <c r="U81" s="75"/>
      <c r="W81" s="75"/>
      <c r="Y81" s="75"/>
      <c r="AA81" s="75"/>
      <c r="AC81" s="75"/>
      <c r="AE81" s="75"/>
      <c r="AG81" s="75"/>
      <c r="AI81" s="75"/>
      <c r="AK81" s="75"/>
      <c r="AM81" s="75"/>
      <c r="AO81" s="75"/>
      <c r="AQ81" s="75"/>
      <c r="AS81" s="75"/>
      <c r="AU81" s="75"/>
    </row>
    <row r="82" spans="1:48" x14ac:dyDescent="0.25">
      <c r="A82" s="35" t="s">
        <v>123</v>
      </c>
      <c r="B82" s="89"/>
      <c r="C82" s="78"/>
      <c r="D82" s="89"/>
      <c r="E82" s="33"/>
      <c r="G82" s="76"/>
      <c r="I82" s="76"/>
      <c r="K82" s="76"/>
      <c r="M82" s="76"/>
      <c r="O82" s="76"/>
      <c r="Q82" s="76"/>
      <c r="S82" s="76"/>
      <c r="U82" s="76"/>
      <c r="W82" s="76"/>
      <c r="Y82" s="76"/>
      <c r="AA82" s="76"/>
      <c r="AC82" s="76"/>
      <c r="AE82" s="76"/>
      <c r="AG82" s="76"/>
      <c r="AI82" s="76"/>
      <c r="AK82" s="76"/>
      <c r="AM82" s="76"/>
      <c r="AO82" s="76"/>
      <c r="AQ82" s="76"/>
      <c r="AS82" s="76"/>
      <c r="AU82" s="76"/>
    </row>
    <row r="83" spans="1:48" s="100" customFormat="1" x14ac:dyDescent="0.25">
      <c r="A83" s="36" t="s">
        <v>124</v>
      </c>
      <c r="B83" s="78">
        <v>2620000</v>
      </c>
      <c r="C83" s="78"/>
      <c r="D83" s="78">
        <v>-1120000</v>
      </c>
      <c r="E83" s="79"/>
      <c r="F83" s="36"/>
      <c r="G83" s="81">
        <f>SUMIF('[3]NON DEV NON DEL '!A$1:A$65536,A83,'[3]NON DEV NON DEL '!J$1:J$65536)/1000</f>
        <v>1500</v>
      </c>
      <c r="H83" s="82"/>
      <c r="I83" s="83">
        <f>SUM('[3]NON DEV NON DEL '!L63:O63)/1000</f>
        <v>0</v>
      </c>
      <c r="J83" s="82"/>
      <c r="K83" s="83">
        <f>SUM('[3]NON DEV NON DEL '!P63:S63)/1000</f>
        <v>0</v>
      </c>
      <c r="L83" s="82"/>
      <c r="M83" s="81">
        <v>0</v>
      </c>
      <c r="N83" s="111"/>
      <c r="O83" s="81">
        <f>SUM(G83:M83)</f>
        <v>1500</v>
      </c>
      <c r="P83" s="111"/>
      <c r="Q83" s="83">
        <f>SUMIF([3]Adjustments!B$1:B$65536,A83,[3]Adjustments!E$1:E$65536)</f>
        <v>0</v>
      </c>
      <c r="R83" s="82"/>
      <c r="S83" s="85">
        <f>SUMIF([3]Savings!B$1:B$65536,A83,[3]Savings!E$1:E$65536)</f>
        <v>-1500</v>
      </c>
      <c r="T83" s="82"/>
      <c r="U83" s="81"/>
      <c r="V83" s="82"/>
      <c r="W83" s="81">
        <f>SUM(O83:U83)</f>
        <v>0</v>
      </c>
      <c r="X83" s="82"/>
      <c r="Y83" s="85">
        <f>SUMIF([3]Adjustments!B$1:B$65536,A83,[3]Adjustments!F$1:F$65536)</f>
        <v>0</v>
      </c>
      <c r="Z83" s="82"/>
      <c r="AA83" s="85">
        <f>SUMIF([3]Savings!B$1:B$65536,A83,[3]Savings!F$1:F$65536)</f>
        <v>0</v>
      </c>
      <c r="AB83" s="82"/>
      <c r="AC83" s="81"/>
      <c r="AD83" s="82"/>
      <c r="AE83" s="81">
        <f>SUM(W83:AC83)</f>
        <v>0</v>
      </c>
      <c r="AF83" s="82"/>
      <c r="AG83" s="85">
        <f>SUMIF([3]Adjustments!B$1:B$65536,A83,[3]Adjustments!G$1:G$65536)</f>
        <v>0</v>
      </c>
      <c r="AH83" s="82"/>
      <c r="AI83" s="85">
        <f>SUMIF([3]Savings!B$1:B$65536,A83,[3]Savings!G$1:G$65536)</f>
        <v>0</v>
      </c>
      <c r="AJ83" s="82"/>
      <c r="AK83" s="81"/>
      <c r="AL83" s="111"/>
      <c r="AM83" s="81">
        <f>SUM(AE83:AK83)</f>
        <v>0</v>
      </c>
      <c r="AN83" s="82"/>
      <c r="AO83" s="85">
        <f>SUMIF([3]Adjustments!B$1:B$65536,A83,[3]Adjustments!H$1:H$65536)</f>
        <v>0</v>
      </c>
      <c r="AP83" s="82"/>
      <c r="AQ83" s="85">
        <f>SUMIF([3]Savings!B$1:B$65536,A83,[3]Savings!H$1:H$65536)</f>
        <v>0</v>
      </c>
      <c r="AR83" s="82"/>
      <c r="AS83" s="81"/>
      <c r="AT83" s="82"/>
      <c r="AU83" s="81">
        <f>SUM(AM83:AS83)</f>
        <v>0</v>
      </c>
      <c r="AV83" s="111"/>
    </row>
    <row r="84" spans="1:48" s="100" customFormat="1" x14ac:dyDescent="0.25">
      <c r="A84" s="36"/>
      <c r="B84" s="78"/>
      <c r="C84" s="78"/>
      <c r="D84" s="78"/>
      <c r="E84" s="79"/>
      <c r="F84" s="36"/>
      <c r="G84" s="81">
        <f>SUM(G83:G83)</f>
        <v>1500</v>
      </c>
      <c r="H84" s="82"/>
      <c r="I84" s="81">
        <f>SUM(I83:I83)</f>
        <v>0</v>
      </c>
      <c r="J84" s="82"/>
      <c r="K84" s="81">
        <f>SUM(K83:K83)</f>
        <v>0</v>
      </c>
      <c r="L84" s="82"/>
      <c r="M84" s="81">
        <f>SUM(M83:M83)</f>
        <v>0</v>
      </c>
      <c r="N84" s="111"/>
      <c r="O84" s="81">
        <f>SUM(O83:O83)</f>
        <v>1500</v>
      </c>
      <c r="P84" s="111"/>
      <c r="Q84" s="81">
        <f>SUM(Q83:Q83)</f>
        <v>0</v>
      </c>
      <c r="R84" s="82"/>
      <c r="S84" s="81">
        <f>SUM(S83:S83)</f>
        <v>-1500</v>
      </c>
      <c r="T84" s="82"/>
      <c r="U84" s="81">
        <f>SUM(U83:U83)</f>
        <v>0</v>
      </c>
      <c r="V84" s="82"/>
      <c r="W84" s="81">
        <f>SUM(W83:W83)</f>
        <v>0</v>
      </c>
      <c r="X84" s="82"/>
      <c r="Y84" s="81">
        <f>SUM(Y83:Y83)</f>
        <v>0</v>
      </c>
      <c r="Z84" s="82"/>
      <c r="AA84" s="81">
        <f>SUM(AA83:AA83)</f>
        <v>0</v>
      </c>
      <c r="AB84" s="82"/>
      <c r="AC84" s="81">
        <f>SUM(AC83:AC83)</f>
        <v>0</v>
      </c>
      <c r="AD84" s="82"/>
      <c r="AE84" s="81">
        <f>SUM(AE83:AE83)</f>
        <v>0</v>
      </c>
      <c r="AF84" s="82"/>
      <c r="AG84" s="81">
        <f>SUM(AG83:AG83)</f>
        <v>0</v>
      </c>
      <c r="AH84" s="82"/>
      <c r="AI84" s="81">
        <f>SUM(AI83:AI83)</f>
        <v>0</v>
      </c>
      <c r="AJ84" s="82"/>
      <c r="AK84" s="81">
        <f>SUM(AK83:AK83)</f>
        <v>0</v>
      </c>
      <c r="AL84" s="111"/>
      <c r="AM84" s="81">
        <f>SUM(AM83:AM83)</f>
        <v>0</v>
      </c>
      <c r="AN84" s="82"/>
      <c r="AO84" s="81">
        <f>SUM(AO83:AO83)</f>
        <v>0</v>
      </c>
      <c r="AP84" s="82"/>
      <c r="AQ84" s="81">
        <f>SUM(AQ83:AQ83)</f>
        <v>0</v>
      </c>
      <c r="AR84" s="82"/>
      <c r="AS84" s="81">
        <f>SUM(AS83:AS83)</f>
        <v>0</v>
      </c>
      <c r="AT84" s="82"/>
      <c r="AU84" s="81">
        <f>SUM(AU83:AU83)</f>
        <v>0</v>
      </c>
      <c r="AV84" s="111"/>
    </row>
    <row r="85" spans="1:48" s="100" customFormat="1" x14ac:dyDescent="0.25">
      <c r="A85" s="36"/>
      <c r="B85" s="78"/>
      <c r="C85" s="78"/>
      <c r="D85" s="78"/>
      <c r="E85" s="79"/>
      <c r="F85" s="36"/>
      <c r="G85" s="81"/>
      <c r="H85" s="82"/>
      <c r="I85" s="81"/>
      <c r="J85" s="82"/>
      <c r="K85" s="81"/>
      <c r="L85" s="82"/>
      <c r="M85" s="81"/>
      <c r="N85" s="111"/>
      <c r="O85" s="81"/>
      <c r="P85" s="111"/>
      <c r="Q85" s="81"/>
      <c r="R85" s="82"/>
      <c r="S85" s="81"/>
      <c r="T85" s="82"/>
      <c r="U85" s="81"/>
      <c r="V85" s="82"/>
      <c r="W85" s="81"/>
      <c r="X85" s="82"/>
      <c r="Y85" s="81"/>
      <c r="Z85" s="82"/>
      <c r="AA85" s="81"/>
      <c r="AB85" s="82"/>
      <c r="AC85" s="81"/>
      <c r="AD85" s="82"/>
      <c r="AE85" s="81"/>
      <c r="AF85" s="82"/>
      <c r="AG85" s="81"/>
      <c r="AH85" s="82"/>
      <c r="AI85" s="81"/>
      <c r="AJ85" s="82"/>
      <c r="AK85" s="81"/>
      <c r="AL85" s="111"/>
      <c r="AM85" s="81"/>
      <c r="AN85" s="82"/>
      <c r="AO85" s="81"/>
      <c r="AP85" s="82"/>
      <c r="AQ85" s="81"/>
      <c r="AR85" s="82"/>
      <c r="AS85" s="81"/>
      <c r="AT85" s="82"/>
      <c r="AU85" s="81"/>
      <c r="AV85" s="111"/>
    </row>
    <row r="86" spans="1:48" s="100" customFormat="1" ht="18.75" thickBot="1" x14ac:dyDescent="0.3">
      <c r="A86" s="36"/>
      <c r="B86" s="112"/>
      <c r="C86" s="78"/>
      <c r="D86" s="112"/>
      <c r="E86" s="79"/>
      <c r="F86" s="36"/>
      <c r="G86" s="101"/>
      <c r="H86" s="82"/>
      <c r="I86" s="101"/>
      <c r="J86" s="82"/>
      <c r="K86" s="101"/>
      <c r="L86" s="82"/>
      <c r="M86" s="101"/>
      <c r="N86" s="111"/>
      <c r="O86" s="101"/>
      <c r="P86" s="111"/>
      <c r="Q86" s="101"/>
      <c r="R86" s="82"/>
      <c r="S86" s="101"/>
      <c r="T86" s="82"/>
      <c r="U86" s="101"/>
      <c r="V86" s="82"/>
      <c r="W86" s="101"/>
      <c r="X86" s="82"/>
      <c r="Y86" s="101"/>
      <c r="Z86" s="82"/>
      <c r="AA86" s="101"/>
      <c r="AB86" s="82"/>
      <c r="AC86" s="101"/>
      <c r="AD86" s="82"/>
      <c r="AE86" s="101"/>
      <c r="AF86" s="82"/>
      <c r="AG86" s="101"/>
      <c r="AH86" s="82"/>
      <c r="AI86" s="101"/>
      <c r="AJ86" s="82"/>
      <c r="AK86" s="101"/>
      <c r="AL86" s="111"/>
      <c r="AM86" s="101"/>
      <c r="AN86" s="82"/>
      <c r="AO86" s="101"/>
      <c r="AP86" s="82"/>
      <c r="AQ86" s="101"/>
      <c r="AR86" s="82"/>
      <c r="AS86" s="101"/>
      <c r="AT86" s="82"/>
      <c r="AU86" s="101"/>
      <c r="AV86" s="111"/>
    </row>
    <row r="87" spans="1:48" s="100" customFormat="1" ht="13.5" customHeight="1" thickBot="1" x14ac:dyDescent="0.3">
      <c r="A87" s="36"/>
      <c r="B87" s="113"/>
      <c r="C87" s="78"/>
      <c r="D87" s="113"/>
      <c r="E87" s="114"/>
      <c r="F87" s="36"/>
      <c r="G87" s="115"/>
      <c r="H87" s="82"/>
      <c r="I87" s="115"/>
      <c r="J87" s="82"/>
      <c r="K87" s="115"/>
      <c r="L87" s="82"/>
      <c r="M87" s="115"/>
      <c r="N87" s="111"/>
      <c r="O87" s="115"/>
      <c r="P87" s="111"/>
      <c r="Q87" s="115"/>
      <c r="R87" s="82"/>
      <c r="S87" s="115"/>
      <c r="T87" s="82"/>
      <c r="U87" s="115"/>
      <c r="V87" s="82"/>
      <c r="W87" s="115"/>
      <c r="X87" s="82"/>
      <c r="Y87" s="115"/>
      <c r="Z87" s="82"/>
      <c r="AA87" s="115"/>
      <c r="AB87" s="82"/>
      <c r="AC87" s="115"/>
      <c r="AD87" s="82"/>
      <c r="AE87" s="115"/>
      <c r="AF87" s="82"/>
      <c r="AG87" s="115"/>
      <c r="AH87" s="82"/>
      <c r="AI87" s="115"/>
      <c r="AJ87" s="82"/>
      <c r="AK87" s="115"/>
      <c r="AL87" s="111"/>
      <c r="AM87" s="115"/>
      <c r="AN87" s="82"/>
      <c r="AO87" s="115"/>
      <c r="AP87" s="82"/>
      <c r="AQ87" s="115"/>
      <c r="AR87" s="82"/>
      <c r="AS87" s="115"/>
      <c r="AT87" s="82"/>
      <c r="AU87" s="115"/>
      <c r="AV87" s="111"/>
    </row>
    <row r="88" spans="1:48" s="100" customFormat="1" ht="18.75" thickBot="1" x14ac:dyDescent="0.3">
      <c r="A88" s="110" t="s">
        <v>125</v>
      </c>
      <c r="B88" s="116">
        <v>398990000</v>
      </c>
      <c r="C88" s="78"/>
      <c r="D88" s="116">
        <v>2239306.8099999968</v>
      </c>
      <c r="E88" s="79"/>
      <c r="F88" s="110"/>
      <c r="G88" s="117">
        <f>G80+G84+G86</f>
        <v>401229.30680999992</v>
      </c>
      <c r="H88" s="82"/>
      <c r="I88" s="117">
        <f>I80+I84+I86</f>
        <v>19000.286868000003</v>
      </c>
      <c r="J88" s="82"/>
      <c r="K88" s="117">
        <f>K80+K84+K86</f>
        <v>-21927.616199999997</v>
      </c>
      <c r="L88" s="82"/>
      <c r="M88" s="117">
        <f>M80+M84+M86</f>
        <v>3415.8344445063549</v>
      </c>
      <c r="N88" s="111"/>
      <c r="O88" s="117">
        <f>O80+O84+O86</f>
        <v>401717.81192250637</v>
      </c>
      <c r="P88" s="111"/>
      <c r="Q88" s="117">
        <f>Q80+Q84+Q86</f>
        <v>20152.997458333335</v>
      </c>
      <c r="R88" s="82"/>
      <c r="S88" s="117">
        <f>S80+S84+S86</f>
        <v>-16021.556999999999</v>
      </c>
      <c r="T88" s="82"/>
      <c r="U88" s="117">
        <f>U80+U84+U86</f>
        <v>4195.9708306341963</v>
      </c>
      <c r="V88" s="82"/>
      <c r="W88" s="117">
        <f>W80+W84+W86</f>
        <v>410045.22321147379</v>
      </c>
      <c r="X88" s="82"/>
      <c r="Y88" s="117">
        <f>Y80+Y84+Y86</f>
        <v>18029.404137500002</v>
      </c>
      <c r="Z88" s="82"/>
      <c r="AA88" s="117">
        <f>AA80+AA84+AA86</f>
        <v>-14940.215900000003</v>
      </c>
      <c r="AB88" s="82"/>
      <c r="AC88" s="117">
        <f>AC80+AC84+AC86</f>
        <v>4252.1371874520537</v>
      </c>
      <c r="AD88" s="82"/>
      <c r="AE88" s="117">
        <f>AE80+AE84+AE86</f>
        <v>417386.54863642581</v>
      </c>
      <c r="AF88" s="82"/>
      <c r="AG88" s="117">
        <f>AG80+AG84+AG86</f>
        <v>14274.114819024999</v>
      </c>
      <c r="AH88" s="82"/>
      <c r="AI88" s="117">
        <f>AI80+AI84+AI86</f>
        <v>-14085.573322000002</v>
      </c>
      <c r="AJ88" s="82"/>
      <c r="AK88" s="117">
        <f>AK80+AK84+AK86</f>
        <v>4308.357035756072</v>
      </c>
      <c r="AL88" s="111"/>
      <c r="AM88" s="117">
        <f>AM80+AM84+AM86</f>
        <v>421883.44716920692</v>
      </c>
      <c r="AN88" s="82"/>
      <c r="AO88" s="117">
        <f>AO80+AO84+AO86</f>
        <v>-762</v>
      </c>
      <c r="AP88" s="82"/>
      <c r="AQ88" s="117">
        <f>AQ80+AQ84+AQ86</f>
        <v>0</v>
      </c>
      <c r="AR88" s="82"/>
      <c r="AS88" s="117">
        <f>AS80+AS84+AS86</f>
        <v>0</v>
      </c>
      <c r="AT88" s="82"/>
      <c r="AU88" s="117">
        <f>AU80+AU84+AU86</f>
        <v>421121.44716920704</v>
      </c>
      <c r="AV88" s="111"/>
    </row>
    <row r="89" spans="1:48" s="100" customFormat="1" ht="18.75" thickTop="1" x14ac:dyDescent="0.25">
      <c r="A89" s="36"/>
      <c r="B89" s="78"/>
      <c r="C89" s="78"/>
      <c r="D89" s="78"/>
      <c r="E89" s="79"/>
      <c r="F89" s="36"/>
      <c r="G89" s="81"/>
      <c r="H89" s="82"/>
      <c r="I89" s="81"/>
      <c r="J89" s="96"/>
      <c r="K89" s="81"/>
      <c r="L89" s="96"/>
      <c r="M89" s="81"/>
      <c r="N89" s="111"/>
      <c r="O89" s="81"/>
      <c r="P89" s="111"/>
      <c r="Q89" s="81"/>
      <c r="R89" s="96"/>
      <c r="S89" s="81"/>
      <c r="T89" s="96"/>
      <c r="U89" s="81"/>
      <c r="V89" s="82"/>
      <c r="W89" s="81"/>
      <c r="X89" s="82"/>
      <c r="Y89" s="81"/>
      <c r="Z89" s="96"/>
      <c r="AA89" s="81"/>
      <c r="AB89" s="96"/>
      <c r="AC89" s="81"/>
      <c r="AD89" s="82"/>
      <c r="AE89" s="81"/>
      <c r="AF89" s="82"/>
      <c r="AG89" s="81"/>
      <c r="AH89" s="96"/>
      <c r="AI89" s="81"/>
      <c r="AJ89" s="96"/>
      <c r="AK89" s="81"/>
      <c r="AL89" s="111"/>
      <c r="AM89" s="81"/>
      <c r="AN89" s="82"/>
      <c r="AO89" s="81"/>
      <c r="AP89" s="96"/>
      <c r="AQ89" s="81"/>
      <c r="AR89" s="96"/>
      <c r="AS89" s="81"/>
      <c r="AT89" s="82"/>
      <c r="AU89" s="81"/>
      <c r="AV89" s="111"/>
    </row>
    <row r="90" spans="1:48" s="100" customFormat="1" x14ac:dyDescent="0.25">
      <c r="A90" s="36" t="s">
        <v>126</v>
      </c>
      <c r="B90" s="78">
        <v>1652000</v>
      </c>
      <c r="C90" s="78"/>
      <c r="D90" s="78">
        <v>-61694.040000000037</v>
      </c>
      <c r="E90" s="79"/>
      <c r="F90" s="36"/>
      <c r="G90" s="81">
        <f>SUM([3]OPCC!L285-[3]OPCC!E270-[3]OPCC!E143)/1000</f>
        <v>1590.3059599999999</v>
      </c>
      <c r="H90" s="82"/>
      <c r="I90" s="83">
        <f>[3]OPCC!O25/1000</f>
        <v>31.081</v>
      </c>
      <c r="J90" s="96"/>
      <c r="K90" s="83">
        <f>(G90*0.995)-G90</f>
        <v>-7.9515298000001167</v>
      </c>
      <c r="L90" s="96"/>
      <c r="M90" s="81">
        <f>[3]OPCC!W285/1000</f>
        <v>10.9907381</v>
      </c>
      <c r="N90" s="111"/>
      <c r="O90" s="81">
        <f>SUM(G90:M90)</f>
        <v>1624.4261682999997</v>
      </c>
      <c r="P90" s="111"/>
      <c r="Q90" s="83">
        <f>SUMIF([3]Adjustments!B$1:B$65536,A90,[3]Adjustments!E$1:E$65536)</f>
        <v>0</v>
      </c>
      <c r="R90" s="96"/>
      <c r="S90" s="85">
        <f>(O90*0.995)-O90</f>
        <v>-8.1221308414999385</v>
      </c>
      <c r="T90" s="96"/>
      <c r="U90" s="81">
        <f>[3]OPCC!Z242/1000</f>
        <v>10.639247181000002</v>
      </c>
      <c r="V90" s="82"/>
      <c r="W90" s="81">
        <f>SUM(O90:U90)</f>
        <v>1626.9432846394998</v>
      </c>
      <c r="X90" s="82"/>
      <c r="Y90" s="85">
        <f>SUMIF([3]Adjustments!B$1:B$65536,A90,[3]Adjustments!F$1:F$65536)</f>
        <v>0</v>
      </c>
      <c r="Z90" s="96"/>
      <c r="AA90" s="85">
        <f>W90*0.995-W90</f>
        <v>-8.1347164231974602</v>
      </c>
      <c r="AB90" s="96"/>
      <c r="AC90" s="81">
        <f>[3]OPCC!AA242/1000</f>
        <v>10.74563965281</v>
      </c>
      <c r="AD90" s="82"/>
      <c r="AE90" s="81">
        <f>SUM(W90:AC90)</f>
        <v>1629.5542078691124</v>
      </c>
      <c r="AF90" s="82"/>
      <c r="AG90" s="85">
        <f>SUMIF([3]Adjustments!B$1:B$65536,A90,[3]Adjustments!G$1:G$65536)</f>
        <v>0</v>
      </c>
      <c r="AH90" s="96"/>
      <c r="AI90" s="85">
        <f>AE90*0.995-AE90</f>
        <v>-8.1477710393455709</v>
      </c>
      <c r="AJ90" s="96"/>
      <c r="AK90" s="81">
        <f>[3]OPCC!AB242/1000</f>
        <v>10.853096049338101</v>
      </c>
      <c r="AL90" s="111"/>
      <c r="AM90" s="81">
        <f>SUM(AE90:AK90)</f>
        <v>1632.2595328791049</v>
      </c>
      <c r="AN90" s="82"/>
      <c r="AO90" s="85">
        <f>SUMIF([3]Adjustments!B$1:B$65536,A90,[3]Adjustments!H$1:H$65536)</f>
        <v>0</v>
      </c>
      <c r="AP90" s="96"/>
      <c r="AQ90" s="85">
        <f>SUMIF([3]Savings!B$1:B$65536,A90,[3]Savings!H$1:H$65536)</f>
        <v>0</v>
      </c>
      <c r="AR90" s="96"/>
      <c r="AS90" s="81"/>
      <c r="AT90" s="82"/>
      <c r="AU90" s="81">
        <f>SUM(AM90:AS90)</f>
        <v>1632.2595328791049</v>
      </c>
      <c r="AV90" s="111"/>
    </row>
    <row r="91" spans="1:48" s="100" customFormat="1" x14ac:dyDescent="0.25">
      <c r="A91" s="36" t="s">
        <v>127</v>
      </c>
      <c r="B91" s="78">
        <v>6390000</v>
      </c>
      <c r="C91" s="78"/>
      <c r="D91" s="78">
        <v>126</v>
      </c>
      <c r="E91" s="79"/>
      <c r="F91" s="36"/>
      <c r="G91" s="81">
        <f>SUM([3]OPCC!E143,[3]OPCC!E270)/1000</f>
        <v>6390.1260000000002</v>
      </c>
      <c r="H91" s="82"/>
      <c r="I91" s="83">
        <f>[3]OPCC!O270/1000</f>
        <v>-1098</v>
      </c>
      <c r="J91" s="96"/>
      <c r="K91" s="83">
        <f>(G91+I91)*0.995-(G91+I91)</f>
        <v>-26.460629999999583</v>
      </c>
      <c r="L91" s="96"/>
      <c r="M91" s="81"/>
      <c r="N91" s="111"/>
      <c r="O91" s="81">
        <f>SUM(G91:M91)</f>
        <v>5265.6653700000006</v>
      </c>
      <c r="P91" s="111"/>
      <c r="Q91" s="83"/>
      <c r="R91" s="96"/>
      <c r="S91" s="85">
        <f>(O91*0.995)-O91</f>
        <v>-26.328326849999939</v>
      </c>
      <c r="T91" s="96"/>
      <c r="U91" s="81"/>
      <c r="V91" s="82"/>
      <c r="W91" s="81">
        <f>SUM(O91:U91)</f>
        <v>5239.3370431500007</v>
      </c>
      <c r="X91" s="82"/>
      <c r="Y91" s="85"/>
      <c r="Z91" s="96"/>
      <c r="AA91" s="85">
        <f>W91*0.995-W91</f>
        <v>-26.196685215750222</v>
      </c>
      <c r="AB91" s="96"/>
      <c r="AC91" s="81"/>
      <c r="AD91" s="82"/>
      <c r="AE91" s="81">
        <f>SUM(W91:AC91)</f>
        <v>5213.1403579342505</v>
      </c>
      <c r="AF91" s="82"/>
      <c r="AG91" s="85"/>
      <c r="AH91" s="96"/>
      <c r="AI91" s="85">
        <f>AE91*0.995-AE91</f>
        <v>-26.065701789671039</v>
      </c>
      <c r="AJ91" s="96"/>
      <c r="AK91" s="81"/>
      <c r="AL91" s="111"/>
      <c r="AM91" s="81">
        <f>SUM(AE91:AK91)</f>
        <v>5187.0746561445794</v>
      </c>
      <c r="AN91" s="82"/>
      <c r="AO91" s="85"/>
      <c r="AP91" s="96"/>
      <c r="AQ91" s="85"/>
      <c r="AR91" s="96"/>
      <c r="AS91" s="81"/>
      <c r="AT91" s="82"/>
      <c r="AU91" s="81"/>
      <c r="AV91" s="111"/>
    </row>
    <row r="92" spans="1:48" s="100" customFormat="1" x14ac:dyDescent="0.25">
      <c r="A92" s="36" t="s">
        <v>128</v>
      </c>
      <c r="B92" s="78">
        <v>1185000</v>
      </c>
      <c r="C92" s="78"/>
      <c r="D92" s="78">
        <v>-983070.4</v>
      </c>
      <c r="E92" s="79"/>
      <c r="F92" s="36"/>
      <c r="G92" s="81">
        <f>'[3]SHARED SERVICES'!L285/1000</f>
        <v>201.92959999999997</v>
      </c>
      <c r="H92" s="82"/>
      <c r="I92" s="83">
        <f>'[3]SHARED SERVICES'!O25/1000</f>
        <v>11.308</v>
      </c>
      <c r="J92" s="96"/>
      <c r="K92" s="83"/>
      <c r="L92" s="96"/>
      <c r="M92" s="81">
        <f>'[3]SHARED SERVICES'!W285/1000</f>
        <v>0.25096933333333299</v>
      </c>
      <c r="N92" s="111"/>
      <c r="O92" s="81">
        <f>SUM(G92:M92)</f>
        <v>213.48856933333329</v>
      </c>
      <c r="P92" s="111"/>
      <c r="Q92" s="83">
        <f>SUMIF([3]Adjustments!B$1:B$65536,A92,[3]Adjustments!E$1:E$65536)</f>
        <v>0</v>
      </c>
      <c r="R92" s="96"/>
      <c r="S92" s="85">
        <f>SUMIF([3]Savings!B$1:B$65536,A92,[3]Savings!E$1:E$65536)</f>
        <v>0</v>
      </c>
      <c r="T92" s="96"/>
      <c r="U92" s="81"/>
      <c r="V92" s="82"/>
      <c r="W92" s="81">
        <f>SUM(O92:U92)</f>
        <v>213.48856933333329</v>
      </c>
      <c r="X92" s="82"/>
      <c r="Y92" s="85">
        <f>SUMIF([3]Adjustments!B$1:B$65536,A92,[3]Adjustments!F$1:F$65536)</f>
        <v>0</v>
      </c>
      <c r="Z92" s="96"/>
      <c r="AA92" s="85">
        <f>SUMIF([3]Savings!B$1:B$65536,A92,[3]Savings!F$1:F$65536)</f>
        <v>0</v>
      </c>
      <c r="AB92" s="96"/>
      <c r="AC92" s="81"/>
      <c r="AD92" s="82"/>
      <c r="AE92" s="81">
        <f>SUM(W92:AC92)</f>
        <v>213.48856933333329</v>
      </c>
      <c r="AF92" s="82"/>
      <c r="AG92" s="85">
        <f>SUMIF([3]Adjustments!B$1:B$65536,A92,[3]Adjustments!G$1:G$65536)</f>
        <v>0</v>
      </c>
      <c r="AH92" s="96"/>
      <c r="AI92" s="85">
        <f>SUMIF([3]Savings!B$1:B$65536,A92,[3]Savings!G$1:G$65536)</f>
        <v>0</v>
      </c>
      <c r="AJ92" s="96"/>
      <c r="AK92" s="81"/>
      <c r="AL92" s="111"/>
      <c r="AM92" s="81">
        <f>SUM(AE92:AK92)</f>
        <v>213.48856933333329</v>
      </c>
      <c r="AN92" s="82"/>
      <c r="AO92" s="85">
        <f>SUMIF([3]Adjustments!B$1:B$65536,A92,[3]Adjustments!H$1:H$65536)</f>
        <v>0</v>
      </c>
      <c r="AP92" s="96"/>
      <c r="AQ92" s="85">
        <f>SUMIF([3]Savings!B$1:B$65536,A92,[3]Savings!H$1:H$65536)</f>
        <v>0</v>
      </c>
      <c r="AR92" s="96"/>
      <c r="AS92" s="81"/>
      <c r="AT92" s="82"/>
      <c r="AU92" s="81">
        <f>SUM(AM92:AS92)</f>
        <v>213.48856933333329</v>
      </c>
      <c r="AV92" s="111"/>
    </row>
    <row r="93" spans="1:48" s="100" customFormat="1" x14ac:dyDescent="0.25">
      <c r="A93" s="36" t="s">
        <v>129</v>
      </c>
      <c r="B93" s="78">
        <v>-40000</v>
      </c>
      <c r="C93" s="78"/>
      <c r="D93" s="78">
        <v>0</v>
      </c>
      <c r="E93" s="79"/>
      <c r="F93" s="36"/>
      <c r="G93" s="81">
        <v>-40</v>
      </c>
      <c r="H93" s="82"/>
      <c r="I93" s="83">
        <v>40</v>
      </c>
      <c r="J93" s="96"/>
      <c r="K93" s="83"/>
      <c r="L93" s="96"/>
      <c r="M93" s="81"/>
      <c r="N93" s="111"/>
      <c r="O93" s="81">
        <v>0</v>
      </c>
      <c r="P93" s="111"/>
      <c r="Q93" s="83"/>
      <c r="R93" s="96"/>
      <c r="S93" s="85"/>
      <c r="T93" s="96"/>
      <c r="U93" s="81"/>
      <c r="V93" s="82"/>
      <c r="W93" s="81"/>
      <c r="X93" s="82"/>
      <c r="Y93" s="85"/>
      <c r="Z93" s="96"/>
      <c r="AA93" s="85"/>
      <c r="AB93" s="96"/>
      <c r="AC93" s="81"/>
      <c r="AD93" s="82"/>
      <c r="AE93" s="81"/>
      <c r="AF93" s="82"/>
      <c r="AG93" s="85"/>
      <c r="AH93" s="96"/>
      <c r="AI93" s="85"/>
      <c r="AJ93" s="96"/>
      <c r="AK93" s="81"/>
      <c r="AL93" s="111"/>
      <c r="AM93" s="81"/>
      <c r="AN93" s="82"/>
      <c r="AO93" s="85"/>
      <c r="AP93" s="96"/>
      <c r="AQ93" s="85"/>
      <c r="AR93" s="96"/>
      <c r="AS93" s="81"/>
      <c r="AT93" s="82"/>
      <c r="AU93" s="81"/>
      <c r="AV93" s="111"/>
    </row>
    <row r="94" spans="1:48" s="100" customFormat="1" ht="18.75" thickBot="1" x14ac:dyDescent="0.3">
      <c r="A94" s="118" t="s">
        <v>130</v>
      </c>
      <c r="B94" s="119">
        <v>9187000</v>
      </c>
      <c r="C94" s="78"/>
      <c r="D94" s="119">
        <v>-1044638.4400000001</v>
      </c>
      <c r="E94" s="79"/>
      <c r="F94" s="118"/>
      <c r="G94" s="120">
        <f>SUM(G90:G93)</f>
        <v>8142.3615600000003</v>
      </c>
      <c r="H94" s="82"/>
      <c r="I94" s="120">
        <f>SUM(I90:I93)</f>
        <v>-1015.6110000000001</v>
      </c>
      <c r="J94" s="96"/>
      <c r="K94" s="120">
        <f>SUM(K90:K92)</f>
        <v>-34.412159799999699</v>
      </c>
      <c r="L94" s="96"/>
      <c r="M94" s="120">
        <f>SUM(M90:M92)</f>
        <v>11.241707433333334</v>
      </c>
      <c r="N94" s="111" t="s">
        <v>1</v>
      </c>
      <c r="O94" s="120">
        <f>SUM(O90:O93)</f>
        <v>7103.5801076333337</v>
      </c>
      <c r="P94" s="111"/>
      <c r="Q94" s="120">
        <f>SUM(Q90:Q92)</f>
        <v>0</v>
      </c>
      <c r="R94" s="96"/>
      <c r="S94" s="120">
        <f>SUM(S90:S92)</f>
        <v>-34.450457691499878</v>
      </c>
      <c r="T94" s="96"/>
      <c r="U94" s="120">
        <f>SUM(U90:U92)</f>
        <v>10.639247181000002</v>
      </c>
      <c r="V94" s="82"/>
      <c r="W94" s="120">
        <f>SUM(W90:W92)</f>
        <v>7079.7688971228336</v>
      </c>
      <c r="X94" s="82"/>
      <c r="Y94" s="120">
        <f>SUM(Y90:Y92)</f>
        <v>0</v>
      </c>
      <c r="Z94" s="96"/>
      <c r="AA94" s="120">
        <f>SUM(AA90:AA92)</f>
        <v>-34.331401638947682</v>
      </c>
      <c r="AB94" s="96"/>
      <c r="AC94" s="120">
        <f>SUM(AC90:AC92)</f>
        <v>10.74563965281</v>
      </c>
      <c r="AD94" s="82"/>
      <c r="AE94" s="120">
        <f>SUM(AE90:AE92)</f>
        <v>7056.1831351366964</v>
      </c>
      <c r="AF94" s="82"/>
      <c r="AG94" s="120">
        <f>SUM(AG90:AG92)</f>
        <v>0</v>
      </c>
      <c r="AH94" s="96"/>
      <c r="AI94" s="120">
        <f>SUM(AI90:AI92)</f>
        <v>-34.213472829016609</v>
      </c>
      <c r="AJ94" s="96"/>
      <c r="AK94" s="120">
        <f>SUM(AK90:AK92)</f>
        <v>10.853096049338101</v>
      </c>
      <c r="AL94" s="111"/>
      <c r="AM94" s="120">
        <f>SUM(AM90:AM92)</f>
        <v>7032.8227583570178</v>
      </c>
      <c r="AN94" s="82"/>
      <c r="AO94" s="120">
        <f>SUM(AO90:AO92)</f>
        <v>0</v>
      </c>
      <c r="AP94" s="96"/>
      <c r="AQ94" s="120">
        <f>SUM(AQ90:AQ92)</f>
        <v>0</v>
      </c>
      <c r="AR94" s="96"/>
      <c r="AS94" s="120">
        <f>SUM(AS90:AS92)</f>
        <v>0</v>
      </c>
      <c r="AT94" s="82"/>
      <c r="AU94" s="120">
        <f>SUM(AU90:AU92)</f>
        <v>1845.7481022124382</v>
      </c>
      <c r="AV94" s="111"/>
    </row>
    <row r="95" spans="1:48" s="100" customFormat="1" ht="18.75" thickTop="1" x14ac:dyDescent="0.25">
      <c r="A95" s="36"/>
      <c r="B95" s="78"/>
      <c r="C95" s="78"/>
      <c r="D95" s="78"/>
      <c r="E95" s="79"/>
      <c r="F95" s="36"/>
      <c r="G95" s="81"/>
      <c r="H95" s="82"/>
      <c r="I95" s="81"/>
      <c r="J95" s="96"/>
      <c r="K95" s="81"/>
      <c r="L95" s="96"/>
      <c r="M95" s="81"/>
      <c r="N95" s="111"/>
      <c r="O95" s="81"/>
      <c r="P95" s="111"/>
      <c r="Q95" s="81"/>
      <c r="R95" s="96"/>
      <c r="S95" s="81"/>
      <c r="T95" s="96"/>
      <c r="U95" s="81"/>
      <c r="V95" s="82"/>
      <c r="W95" s="81"/>
      <c r="X95" s="82"/>
      <c r="Y95" s="81"/>
      <c r="Z95" s="96"/>
      <c r="AA95" s="81"/>
      <c r="AB95" s="96"/>
      <c r="AC95" s="81"/>
      <c r="AD95" s="82"/>
      <c r="AE95" s="81"/>
      <c r="AF95" s="82"/>
      <c r="AG95" s="81"/>
      <c r="AH95" s="96"/>
      <c r="AI95" s="81"/>
      <c r="AJ95" s="96"/>
      <c r="AK95" s="81"/>
      <c r="AL95" s="111"/>
      <c r="AM95" s="81"/>
      <c r="AN95" s="82"/>
      <c r="AO95" s="81"/>
      <c r="AP95" s="96"/>
      <c r="AQ95" s="81"/>
      <c r="AR95" s="96"/>
      <c r="AS95" s="81"/>
      <c r="AT95" s="82"/>
      <c r="AU95" s="81"/>
      <c r="AV95" s="111"/>
    </row>
    <row r="96" spans="1:48" s="100" customFormat="1" ht="18.75" thickBot="1" x14ac:dyDescent="0.3">
      <c r="A96" s="36"/>
      <c r="B96" s="121"/>
      <c r="C96" s="78"/>
      <c r="D96" s="121"/>
      <c r="E96" s="79"/>
      <c r="F96" s="36"/>
      <c r="G96" s="122"/>
      <c r="H96" s="82"/>
      <c r="I96" s="122"/>
      <c r="J96" s="96"/>
      <c r="K96" s="122"/>
      <c r="L96" s="96"/>
      <c r="M96" s="122"/>
      <c r="N96" s="111"/>
      <c r="O96" s="122"/>
      <c r="P96" s="111"/>
      <c r="Q96" s="122"/>
      <c r="R96" s="96"/>
      <c r="S96" s="122"/>
      <c r="T96" s="96"/>
      <c r="U96" s="122"/>
      <c r="V96" s="82"/>
      <c r="W96" s="122"/>
      <c r="X96" s="82"/>
      <c r="Y96" s="122"/>
      <c r="Z96" s="96"/>
      <c r="AA96" s="122"/>
      <c r="AB96" s="96"/>
      <c r="AC96" s="122"/>
      <c r="AD96" s="82"/>
      <c r="AE96" s="122"/>
      <c r="AF96" s="82"/>
      <c r="AG96" s="122"/>
      <c r="AH96" s="96"/>
      <c r="AI96" s="122"/>
      <c r="AJ96" s="96"/>
      <c r="AK96" s="122"/>
      <c r="AL96" s="111"/>
      <c r="AM96" s="122"/>
      <c r="AN96" s="82"/>
      <c r="AO96" s="122"/>
      <c r="AP96" s="96"/>
      <c r="AQ96" s="122"/>
      <c r="AR96" s="96"/>
      <c r="AS96" s="122"/>
      <c r="AT96" s="82"/>
      <c r="AU96" s="122"/>
      <c r="AV96" s="111"/>
    </row>
    <row r="97" spans="1:48" s="100" customFormat="1" ht="19.5" thickTop="1" thickBot="1" x14ac:dyDescent="0.3">
      <c r="A97" s="118" t="s">
        <v>131</v>
      </c>
      <c r="B97" s="121">
        <v>408177000</v>
      </c>
      <c r="C97" s="78"/>
      <c r="D97" s="121">
        <v>1194668.3699999969</v>
      </c>
      <c r="E97" s="79"/>
      <c r="F97" s="118"/>
      <c r="G97" s="122">
        <f>G94+G88</f>
        <v>409371.66836999991</v>
      </c>
      <c r="H97" s="82"/>
      <c r="I97" s="122">
        <f>I94+I88</f>
        <v>17984.675868000002</v>
      </c>
      <c r="J97" s="82"/>
      <c r="K97" s="122">
        <f>K94+K88</f>
        <v>-21962.028359799995</v>
      </c>
      <c r="L97" s="82"/>
      <c r="M97" s="122">
        <f>M94+M88</f>
        <v>3427.0761519396883</v>
      </c>
      <c r="N97" s="111"/>
      <c r="O97" s="122">
        <f>O94+O88</f>
        <v>408821.39203013969</v>
      </c>
      <c r="P97" s="111"/>
      <c r="Q97" s="122">
        <f>Q94+Q88</f>
        <v>20152.997458333335</v>
      </c>
      <c r="R97" s="82"/>
      <c r="S97" s="122">
        <f>S94+S88</f>
        <v>-16056.007457691499</v>
      </c>
      <c r="T97" s="82"/>
      <c r="U97" s="122">
        <f>U94+U88</f>
        <v>4206.6100778151967</v>
      </c>
      <c r="V97" s="82"/>
      <c r="W97" s="122">
        <f>W94+W88</f>
        <v>417124.99210859661</v>
      </c>
      <c r="X97" s="82"/>
      <c r="Y97" s="122">
        <f>Y94+Y88</f>
        <v>18029.404137500002</v>
      </c>
      <c r="Z97" s="82"/>
      <c r="AA97" s="122">
        <f>AA94+AA88</f>
        <v>-14974.547301638951</v>
      </c>
      <c r="AB97" s="82"/>
      <c r="AC97" s="122">
        <f>AC94+AC88</f>
        <v>4262.8828271048633</v>
      </c>
      <c r="AD97" s="82"/>
      <c r="AE97" s="122">
        <f>AE94+AE88</f>
        <v>424442.73177156248</v>
      </c>
      <c r="AF97" s="82"/>
      <c r="AG97" s="122">
        <f>AG94+AG88</f>
        <v>14274.114819024999</v>
      </c>
      <c r="AH97" s="82"/>
      <c r="AI97" s="122">
        <f>AI94+AI88</f>
        <v>-14119.786794829019</v>
      </c>
      <c r="AJ97" s="82"/>
      <c r="AK97" s="122">
        <f>AK94+AK88</f>
        <v>4319.2101318054101</v>
      </c>
      <c r="AL97" s="111"/>
      <c r="AM97" s="122">
        <f>AM94+AM88</f>
        <v>428916.26992756396</v>
      </c>
      <c r="AN97" s="82"/>
      <c r="AO97" s="122">
        <f>AO94+AO88</f>
        <v>-762</v>
      </c>
      <c r="AP97" s="82"/>
      <c r="AQ97" s="122">
        <f>AQ94+AQ88</f>
        <v>0</v>
      </c>
      <c r="AR97" s="82"/>
      <c r="AS97" s="122">
        <f>AS94+AS88</f>
        <v>0</v>
      </c>
      <c r="AT97" s="82"/>
      <c r="AU97" s="122">
        <f>AU94+AU88</f>
        <v>422967.19527141948</v>
      </c>
      <c r="AV97" s="111"/>
    </row>
    <row r="98" spans="1:48" s="100" customFormat="1" ht="18.75" hidden="1" thickTop="1" x14ac:dyDescent="0.25">
      <c r="A98" s="36"/>
      <c r="B98" s="78"/>
      <c r="C98" s="78"/>
      <c r="D98" s="78"/>
      <c r="E98" s="79"/>
      <c r="F98" s="36"/>
      <c r="G98" s="81"/>
      <c r="H98" s="82"/>
      <c r="I98" s="81"/>
      <c r="J98" s="82"/>
      <c r="K98" s="81"/>
      <c r="L98" s="82"/>
      <c r="M98" s="81"/>
      <c r="N98" s="111"/>
      <c r="O98" s="81" t="s">
        <v>1</v>
      </c>
      <c r="P98" s="111"/>
      <c r="Q98" s="81"/>
      <c r="R98" s="82"/>
      <c r="S98" s="81"/>
      <c r="T98" s="82"/>
      <c r="U98" s="81"/>
      <c r="V98" s="82"/>
      <c r="W98" s="81"/>
      <c r="X98" s="82"/>
      <c r="Y98" s="81"/>
      <c r="Z98" s="82"/>
      <c r="AA98" s="81"/>
      <c r="AB98" s="82"/>
      <c r="AC98" s="81"/>
      <c r="AD98" s="82"/>
      <c r="AE98" s="81"/>
      <c r="AF98" s="82"/>
      <c r="AG98" s="81"/>
      <c r="AH98" s="82"/>
      <c r="AI98" s="81"/>
      <c r="AJ98" s="82"/>
      <c r="AK98" s="81"/>
      <c r="AL98" s="111"/>
      <c r="AM98" s="81"/>
      <c r="AN98" s="82"/>
      <c r="AO98" s="81"/>
      <c r="AP98" s="82"/>
      <c r="AQ98" s="81"/>
      <c r="AR98" s="82"/>
      <c r="AS98" s="81"/>
      <c r="AT98" s="82"/>
      <c r="AU98" s="81"/>
      <c r="AV98" s="111"/>
    </row>
    <row r="99" spans="1:48" s="100" customFormat="1" ht="18.75" hidden="1" thickTop="1" x14ac:dyDescent="0.25">
      <c r="A99" s="36" t="s">
        <v>132</v>
      </c>
      <c r="B99" s="78"/>
      <c r="C99" s="78"/>
      <c r="D99" s="78"/>
      <c r="E99" s="79"/>
      <c r="F99" s="36"/>
      <c r="G99" s="81"/>
      <c r="H99" s="82"/>
      <c r="I99" s="81"/>
      <c r="J99" s="96"/>
      <c r="K99" s="81"/>
      <c r="L99" s="96"/>
      <c r="M99" s="81"/>
      <c r="N99" s="111"/>
      <c r="O99" s="81"/>
      <c r="P99" s="111"/>
      <c r="Q99" s="81"/>
      <c r="R99" s="96"/>
      <c r="S99" s="81"/>
      <c r="T99" s="96"/>
      <c r="U99" s="81"/>
      <c r="V99" s="82"/>
      <c r="W99" s="81"/>
      <c r="X99" s="82"/>
      <c r="Y99" s="81"/>
      <c r="Z99" s="96"/>
      <c r="AA99" s="81"/>
      <c r="AB99" s="96"/>
      <c r="AC99" s="81"/>
      <c r="AD99" s="82"/>
      <c r="AE99" s="81"/>
      <c r="AF99" s="82"/>
      <c r="AG99" s="81"/>
      <c r="AH99" s="96"/>
      <c r="AI99" s="81"/>
      <c r="AJ99" s="96"/>
      <c r="AK99" s="81"/>
      <c r="AL99" s="111"/>
      <c r="AM99" s="81"/>
      <c r="AN99" s="82"/>
      <c r="AO99" s="81"/>
      <c r="AP99" s="96"/>
      <c r="AQ99" s="81"/>
      <c r="AR99" s="96"/>
      <c r="AS99" s="81"/>
      <c r="AT99" s="82"/>
      <c r="AU99" s="81"/>
      <c r="AV99" s="111"/>
    </row>
    <row r="100" spans="1:48" s="100" customFormat="1" ht="18.75" hidden="1" thickTop="1" x14ac:dyDescent="0.25">
      <c r="A100" s="36" t="s">
        <v>133</v>
      </c>
      <c r="B100" s="78"/>
      <c r="C100" s="78"/>
      <c r="D100" s="78"/>
      <c r="E100" s="79"/>
      <c r="F100" s="36"/>
      <c r="G100" s="81"/>
      <c r="H100" s="82"/>
      <c r="I100" s="81"/>
      <c r="J100" s="96"/>
      <c r="K100" s="81"/>
      <c r="L100" s="96"/>
      <c r="M100" s="81"/>
      <c r="N100" s="111"/>
      <c r="O100" s="81">
        <f>SUM(G100:M100)</f>
        <v>0</v>
      </c>
      <c r="P100" s="111"/>
      <c r="Q100" s="81"/>
      <c r="R100" s="96"/>
      <c r="S100" s="81"/>
      <c r="T100" s="96"/>
      <c r="U100" s="81"/>
      <c r="V100" s="82"/>
      <c r="W100" s="81">
        <f>SUM(O100:U100)</f>
        <v>0</v>
      </c>
      <c r="X100" s="82"/>
      <c r="Y100" s="81"/>
      <c r="Z100" s="96"/>
      <c r="AA100" s="81"/>
      <c r="AB100" s="96"/>
      <c r="AC100" s="81"/>
      <c r="AD100" s="82"/>
      <c r="AE100" s="81">
        <f>SUM(W100:AC100)</f>
        <v>0</v>
      </c>
      <c r="AF100" s="82"/>
      <c r="AG100" s="81"/>
      <c r="AH100" s="96"/>
      <c r="AI100" s="81"/>
      <c r="AJ100" s="96"/>
      <c r="AK100" s="81"/>
      <c r="AL100" s="111"/>
      <c r="AM100" s="81">
        <f>SUM(AE100:AK100)</f>
        <v>0</v>
      </c>
      <c r="AN100" s="82"/>
      <c r="AO100" s="81"/>
      <c r="AP100" s="96"/>
      <c r="AQ100" s="81"/>
      <c r="AR100" s="96"/>
      <c r="AS100" s="81"/>
      <c r="AT100" s="82"/>
      <c r="AU100" s="81">
        <f>SUM(AM100:AS100)</f>
        <v>0</v>
      </c>
      <c r="AV100" s="111"/>
    </row>
    <row r="101" spans="1:48" s="100" customFormat="1" ht="18.75" hidden="1" thickTop="1" x14ac:dyDescent="0.25">
      <c r="A101" s="36" t="s">
        <v>115</v>
      </c>
      <c r="B101" s="78"/>
      <c r="C101" s="78"/>
      <c r="D101" s="78"/>
      <c r="E101" s="79"/>
      <c r="F101" s="36"/>
      <c r="G101" s="81"/>
      <c r="H101" s="82"/>
      <c r="I101" s="81"/>
      <c r="J101" s="96"/>
      <c r="K101" s="81"/>
      <c r="L101" s="96"/>
      <c r="M101" s="81"/>
      <c r="N101" s="111"/>
      <c r="O101" s="81">
        <f>SUM(G101:M101)</f>
        <v>0</v>
      </c>
      <c r="P101" s="111"/>
      <c r="Q101" s="81"/>
      <c r="R101" s="96"/>
      <c r="S101" s="81"/>
      <c r="T101" s="96"/>
      <c r="U101" s="81"/>
      <c r="V101" s="82"/>
      <c r="W101" s="81">
        <f>SUM(O101:U101)</f>
        <v>0</v>
      </c>
      <c r="X101" s="82"/>
      <c r="Y101" s="81"/>
      <c r="Z101" s="96"/>
      <c r="AA101" s="81"/>
      <c r="AB101" s="96"/>
      <c r="AC101" s="81"/>
      <c r="AD101" s="82"/>
      <c r="AE101" s="81">
        <f>SUM(W101:AC101)</f>
        <v>0</v>
      </c>
      <c r="AF101" s="82"/>
      <c r="AG101" s="81"/>
      <c r="AH101" s="96"/>
      <c r="AI101" s="81"/>
      <c r="AJ101" s="96"/>
      <c r="AK101" s="81"/>
      <c r="AL101" s="111"/>
      <c r="AM101" s="81">
        <f>SUM(AE101:AK101)</f>
        <v>0</v>
      </c>
      <c r="AN101" s="82"/>
      <c r="AO101" s="81"/>
      <c r="AP101" s="96"/>
      <c r="AQ101" s="81"/>
      <c r="AR101" s="96"/>
      <c r="AS101" s="81"/>
      <c r="AT101" s="82"/>
      <c r="AU101" s="81">
        <f>SUM(AM101:AS101)</f>
        <v>0</v>
      </c>
      <c r="AV101" s="111"/>
    </row>
    <row r="102" spans="1:48" s="100" customFormat="1" ht="18.75" hidden="1" thickTop="1" x14ac:dyDescent="0.25">
      <c r="A102" s="36" t="s">
        <v>134</v>
      </c>
      <c r="B102" s="78"/>
      <c r="C102" s="78"/>
      <c r="D102" s="78"/>
      <c r="E102" s="79"/>
      <c r="F102" s="36"/>
      <c r="G102" s="81"/>
      <c r="H102" s="82"/>
      <c r="I102" s="81"/>
      <c r="J102" s="96"/>
      <c r="K102" s="81"/>
      <c r="L102" s="96"/>
      <c r="M102" s="81"/>
      <c r="N102" s="111"/>
      <c r="O102" s="81">
        <f>SUM(G102:M102)</f>
        <v>0</v>
      </c>
      <c r="P102" s="111"/>
      <c r="Q102" s="81"/>
      <c r="R102" s="96"/>
      <c r="S102" s="81"/>
      <c r="T102" s="96"/>
      <c r="U102" s="81"/>
      <c r="V102" s="82"/>
      <c r="W102" s="81">
        <f>SUM(O102:U102)</f>
        <v>0</v>
      </c>
      <c r="X102" s="82"/>
      <c r="Y102" s="81"/>
      <c r="Z102" s="96"/>
      <c r="AA102" s="81"/>
      <c r="AB102" s="96"/>
      <c r="AC102" s="81"/>
      <c r="AD102" s="82"/>
      <c r="AE102" s="81">
        <f>SUM(W102:AC102)</f>
        <v>0</v>
      </c>
      <c r="AF102" s="82"/>
      <c r="AG102" s="81"/>
      <c r="AH102" s="96"/>
      <c r="AI102" s="81"/>
      <c r="AJ102" s="96"/>
      <c r="AK102" s="81"/>
      <c r="AL102" s="111"/>
      <c r="AM102" s="81">
        <f>SUM(AE102:AK102)</f>
        <v>0</v>
      </c>
      <c r="AN102" s="82"/>
      <c r="AO102" s="81"/>
      <c r="AP102" s="96"/>
      <c r="AQ102" s="81"/>
      <c r="AR102" s="96"/>
      <c r="AS102" s="81"/>
      <c r="AT102" s="82"/>
      <c r="AU102" s="81">
        <f>SUM(AM102:AS102)</f>
        <v>0</v>
      </c>
      <c r="AV102" s="111"/>
    </row>
    <row r="103" spans="1:48" s="100" customFormat="1" ht="18.75" hidden="1" thickTop="1" x14ac:dyDescent="0.25">
      <c r="A103" s="36" t="s">
        <v>135</v>
      </c>
      <c r="B103" s="78"/>
      <c r="C103" s="78"/>
      <c r="D103" s="78"/>
      <c r="E103" s="79"/>
      <c r="F103" s="36"/>
      <c r="G103" s="81"/>
      <c r="H103" s="82"/>
      <c r="I103" s="81"/>
      <c r="J103" s="96"/>
      <c r="K103" s="81"/>
      <c r="L103" s="96"/>
      <c r="M103" s="81"/>
      <c r="N103" s="111"/>
      <c r="O103" s="81">
        <f>SUM(G103:M103)</f>
        <v>0</v>
      </c>
      <c r="P103" s="111"/>
      <c r="Q103" s="81"/>
      <c r="R103" s="96"/>
      <c r="S103" s="81"/>
      <c r="T103" s="96"/>
      <c r="U103" s="81"/>
      <c r="V103" s="82"/>
      <c r="W103" s="81">
        <f>SUM(O103:U103)</f>
        <v>0</v>
      </c>
      <c r="X103" s="82"/>
      <c r="Y103" s="81"/>
      <c r="Z103" s="96"/>
      <c r="AA103" s="81"/>
      <c r="AB103" s="96"/>
      <c r="AC103" s="81"/>
      <c r="AD103" s="82"/>
      <c r="AE103" s="81">
        <f>SUM(W103:AC103)</f>
        <v>0</v>
      </c>
      <c r="AF103" s="82"/>
      <c r="AG103" s="81"/>
      <c r="AH103" s="96"/>
      <c r="AI103" s="81"/>
      <c r="AJ103" s="96"/>
      <c r="AK103" s="81"/>
      <c r="AL103" s="111"/>
      <c r="AM103" s="81">
        <f>SUM(AE103:AK103)</f>
        <v>0</v>
      </c>
      <c r="AN103" s="82"/>
      <c r="AO103" s="81"/>
      <c r="AP103" s="96"/>
      <c r="AQ103" s="81"/>
      <c r="AR103" s="96"/>
      <c r="AS103" s="81"/>
      <c r="AT103" s="82"/>
      <c r="AU103" s="81">
        <f>SUM(AM103:AS103)</f>
        <v>0</v>
      </c>
      <c r="AV103" s="111"/>
    </row>
    <row r="104" spans="1:48" s="100" customFormat="1" ht="19.5" hidden="1" thickTop="1" thickBot="1" x14ac:dyDescent="0.3">
      <c r="A104" s="118" t="s">
        <v>136</v>
      </c>
      <c r="B104" s="119"/>
      <c r="C104" s="78"/>
      <c r="D104" s="119"/>
      <c r="E104" s="79"/>
      <c r="F104" s="118"/>
      <c r="G104" s="120">
        <f>SUM(G100:G103)</f>
        <v>0</v>
      </c>
      <c r="H104" s="82"/>
      <c r="I104" s="120">
        <f>SUM(I100:I103)</f>
        <v>0</v>
      </c>
      <c r="J104" s="96"/>
      <c r="K104" s="120">
        <f>SUM(K100:K103)</f>
        <v>0</v>
      </c>
      <c r="L104" s="96"/>
      <c r="M104" s="120">
        <f>SUM(M100:M103)</f>
        <v>0</v>
      </c>
      <c r="N104" s="111" t="s">
        <v>1</v>
      </c>
      <c r="O104" s="120">
        <f>SUM(O100:O103)</f>
        <v>0</v>
      </c>
      <c r="P104" s="111"/>
      <c r="Q104" s="120">
        <f>SUM(Q100:Q103)</f>
        <v>0</v>
      </c>
      <c r="R104" s="96"/>
      <c r="S104" s="120">
        <f>SUM(S100:S103)</f>
        <v>0</v>
      </c>
      <c r="T104" s="96"/>
      <c r="U104" s="120">
        <f>SUM(U100:U103)</f>
        <v>0</v>
      </c>
      <c r="V104" s="82"/>
      <c r="W104" s="120">
        <f>SUM(W100:W103)</f>
        <v>0</v>
      </c>
      <c r="X104" s="82"/>
      <c r="Y104" s="120">
        <f>SUM(Y100:Y103)</f>
        <v>0</v>
      </c>
      <c r="Z104" s="96"/>
      <c r="AA104" s="120">
        <f>SUM(AA100:AA103)</f>
        <v>0</v>
      </c>
      <c r="AB104" s="96"/>
      <c r="AC104" s="120">
        <f>SUM(AC100:AC103)</f>
        <v>0</v>
      </c>
      <c r="AD104" s="82"/>
      <c r="AE104" s="120">
        <f>SUM(AE100:AE103)</f>
        <v>0</v>
      </c>
      <c r="AF104" s="82"/>
      <c r="AG104" s="120">
        <f>SUM(AG100:AG103)</f>
        <v>0</v>
      </c>
      <c r="AH104" s="96"/>
      <c r="AI104" s="120">
        <f>SUM(AI100:AI103)</f>
        <v>0</v>
      </c>
      <c r="AJ104" s="96"/>
      <c r="AK104" s="120">
        <f>SUM(AK100:AK103)</f>
        <v>0</v>
      </c>
      <c r="AL104" s="111"/>
      <c r="AM104" s="120">
        <f>SUM(AM100:AM103)</f>
        <v>0</v>
      </c>
      <c r="AN104" s="82"/>
      <c r="AO104" s="120">
        <f>SUM(AO100:AO103)</f>
        <v>0</v>
      </c>
      <c r="AP104" s="96"/>
      <c r="AQ104" s="120">
        <f>SUM(AQ100:AQ103)</f>
        <v>0</v>
      </c>
      <c r="AR104" s="96"/>
      <c r="AS104" s="120">
        <f>SUM(AS100:AS103)</f>
        <v>0</v>
      </c>
      <c r="AT104" s="82"/>
      <c r="AU104" s="120">
        <f>SUM(AU100:AU103)</f>
        <v>0</v>
      </c>
      <c r="AV104" s="111"/>
    </row>
    <row r="105" spans="1:48" s="100" customFormat="1" ht="18.75" hidden="1" thickTop="1" x14ac:dyDescent="0.25">
      <c r="A105" s="36"/>
      <c r="B105" s="78"/>
      <c r="C105" s="78"/>
      <c r="D105" s="78"/>
      <c r="E105" s="79"/>
      <c r="F105" s="36"/>
      <c r="G105" s="81"/>
      <c r="H105" s="82"/>
      <c r="I105" s="81"/>
      <c r="J105" s="96"/>
      <c r="K105" s="81"/>
      <c r="L105" s="96"/>
      <c r="M105" s="81"/>
      <c r="N105" s="111"/>
      <c r="O105" s="81"/>
      <c r="P105" s="111"/>
      <c r="Q105" s="81"/>
      <c r="R105" s="96"/>
      <c r="S105" s="81"/>
      <c r="T105" s="96"/>
      <c r="U105" s="81"/>
      <c r="V105" s="82"/>
      <c r="W105" s="81"/>
      <c r="X105" s="82"/>
      <c r="Y105" s="81"/>
      <c r="Z105" s="96"/>
      <c r="AA105" s="81"/>
      <c r="AB105" s="96"/>
      <c r="AC105" s="81"/>
      <c r="AD105" s="82"/>
      <c r="AE105" s="81"/>
      <c r="AF105" s="82"/>
      <c r="AG105" s="81"/>
      <c r="AH105" s="96"/>
      <c r="AI105" s="81"/>
      <c r="AJ105" s="96"/>
      <c r="AK105" s="81"/>
      <c r="AL105" s="111"/>
      <c r="AM105" s="81"/>
      <c r="AN105" s="82"/>
      <c r="AO105" s="81"/>
      <c r="AP105" s="96"/>
      <c r="AQ105" s="81"/>
      <c r="AR105" s="96"/>
      <c r="AS105" s="81"/>
      <c r="AT105" s="82"/>
      <c r="AU105" s="81"/>
      <c r="AV105" s="111"/>
    </row>
    <row r="106" spans="1:48" s="100" customFormat="1" ht="19.5" hidden="1" thickTop="1" thickBot="1" x14ac:dyDescent="0.3">
      <c r="A106" s="36"/>
      <c r="B106" s="121"/>
      <c r="C106" s="78"/>
      <c r="D106" s="121"/>
      <c r="E106" s="79"/>
      <c r="F106" s="36"/>
      <c r="G106" s="122"/>
      <c r="H106" s="81"/>
      <c r="I106" s="122"/>
      <c r="J106" s="122"/>
      <c r="K106" s="122"/>
      <c r="L106" s="81"/>
      <c r="M106" s="122"/>
      <c r="N106" s="123"/>
      <c r="O106" s="122"/>
      <c r="P106" s="123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3"/>
      <c r="AM106" s="122"/>
      <c r="AN106" s="82"/>
      <c r="AO106" s="122"/>
      <c r="AP106" s="122"/>
      <c r="AQ106" s="122"/>
      <c r="AR106" s="122"/>
      <c r="AS106" s="122"/>
      <c r="AT106" s="122"/>
      <c r="AU106" s="122"/>
      <c r="AV106" s="111"/>
    </row>
    <row r="107" spans="1:48" s="100" customFormat="1" ht="27.75" hidden="1" customHeight="1" thickTop="1" thickBot="1" x14ac:dyDescent="0.3">
      <c r="A107" s="36" t="s">
        <v>137</v>
      </c>
      <c r="B107" s="119"/>
      <c r="C107" s="78"/>
      <c r="D107" s="119"/>
      <c r="E107" s="79"/>
      <c r="F107" s="36"/>
      <c r="G107" s="120">
        <f>G104+G97</f>
        <v>409371.66836999991</v>
      </c>
      <c r="H107" s="81" t="s">
        <v>1</v>
      </c>
      <c r="I107" s="120">
        <f>I104+I97</f>
        <v>17984.675868000002</v>
      </c>
      <c r="J107" s="120"/>
      <c r="K107" s="120">
        <f>K104+K97</f>
        <v>-21962.028359799995</v>
      </c>
      <c r="L107" s="81" t="s">
        <v>1</v>
      </c>
      <c r="M107" s="120">
        <f>M104+M97</f>
        <v>3427.0761519396883</v>
      </c>
      <c r="N107" s="124"/>
      <c r="O107" s="120">
        <f>O104+O97</f>
        <v>408821.39203013969</v>
      </c>
      <c r="P107" s="124"/>
      <c r="Q107" s="120">
        <f>Q104+Q97</f>
        <v>20152.997458333335</v>
      </c>
      <c r="R107" s="120"/>
      <c r="S107" s="120">
        <f>S104+S97</f>
        <v>-16056.007457691499</v>
      </c>
      <c r="T107" s="120"/>
      <c r="U107" s="120">
        <f>U104+U97</f>
        <v>4206.6100778151967</v>
      </c>
      <c r="V107" s="120"/>
      <c r="W107" s="120">
        <f>W104+W97</f>
        <v>417124.99210859661</v>
      </c>
      <c r="X107" s="82"/>
      <c r="Y107" s="120">
        <f>Y104+Y97</f>
        <v>18029.404137500002</v>
      </c>
      <c r="Z107" s="120"/>
      <c r="AA107" s="120">
        <f>AA104+AA97</f>
        <v>-14974.547301638951</v>
      </c>
      <c r="AB107" s="120"/>
      <c r="AC107" s="120">
        <f>AC104+AC97</f>
        <v>4262.8828271048633</v>
      </c>
      <c r="AD107" s="120"/>
      <c r="AE107" s="120">
        <f>AE104+AE97</f>
        <v>424442.73177156248</v>
      </c>
      <c r="AF107" s="82"/>
      <c r="AG107" s="120">
        <f>AG104+AG97</f>
        <v>14274.114819024999</v>
      </c>
      <c r="AH107" s="120"/>
      <c r="AI107" s="120">
        <f>AI104+AI97</f>
        <v>-14119.786794829019</v>
      </c>
      <c r="AJ107" s="120"/>
      <c r="AK107" s="120">
        <f>AK104+AK97</f>
        <v>4319.2101318054101</v>
      </c>
      <c r="AL107" s="124"/>
      <c r="AM107" s="120">
        <f>AM104+AM97</f>
        <v>428916.26992756396</v>
      </c>
      <c r="AN107" s="82"/>
      <c r="AO107" s="120">
        <f>AO104+AO97</f>
        <v>-762</v>
      </c>
      <c r="AP107" s="120"/>
      <c r="AQ107" s="120">
        <f>AQ104+AQ97</f>
        <v>0</v>
      </c>
      <c r="AR107" s="120"/>
      <c r="AS107" s="120">
        <f>AS104+AS97</f>
        <v>0</v>
      </c>
      <c r="AT107" s="120"/>
      <c r="AU107" s="120">
        <f>AU104+AU97</f>
        <v>422967.19527141948</v>
      </c>
      <c r="AV107" s="111"/>
    </row>
    <row r="108" spans="1:48" s="100" customFormat="1" ht="18.75" thickTop="1" x14ac:dyDescent="0.25">
      <c r="A108" s="36" t="s">
        <v>138</v>
      </c>
      <c r="B108" s="78"/>
      <c r="C108" s="78"/>
      <c r="D108" s="78"/>
      <c r="E108" s="79"/>
      <c r="F108" s="36"/>
      <c r="G108" s="81"/>
      <c r="H108" s="81"/>
      <c r="I108" s="81"/>
      <c r="J108" s="82"/>
      <c r="K108" s="81"/>
      <c r="L108" s="81"/>
      <c r="M108" s="81"/>
      <c r="N108" s="111"/>
      <c r="O108" s="81"/>
      <c r="P108" s="111"/>
      <c r="Q108" s="81"/>
      <c r="R108" s="82"/>
      <c r="S108" s="81"/>
      <c r="T108" s="82"/>
      <c r="U108" s="81"/>
      <c r="V108" s="82"/>
      <c r="W108" s="81"/>
      <c r="X108" s="82"/>
      <c r="Y108" s="81"/>
      <c r="Z108" s="82"/>
      <c r="AA108" s="81"/>
      <c r="AB108" s="82"/>
      <c r="AC108" s="81"/>
      <c r="AD108" s="82"/>
      <c r="AE108" s="81"/>
      <c r="AF108" s="82"/>
      <c r="AG108" s="81"/>
      <c r="AH108" s="82"/>
      <c r="AI108" s="81"/>
      <c r="AJ108" s="82"/>
      <c r="AK108" s="81"/>
      <c r="AL108" s="111"/>
      <c r="AM108" s="81"/>
      <c r="AN108" s="82"/>
      <c r="AO108" s="81"/>
      <c r="AP108" s="82"/>
      <c r="AQ108" s="81"/>
      <c r="AR108" s="82"/>
      <c r="AS108" s="81"/>
      <c r="AT108" s="82"/>
      <c r="AU108" s="81"/>
      <c r="AV108" s="111"/>
    </row>
    <row r="109" spans="1:48" s="100" customFormat="1" x14ac:dyDescent="0.25">
      <c r="A109" s="36" t="s">
        <v>139</v>
      </c>
      <c r="B109" s="78"/>
      <c r="C109" s="78"/>
      <c r="D109" s="78"/>
      <c r="E109" s="79"/>
      <c r="F109" s="36"/>
      <c r="G109" s="81"/>
      <c r="H109" s="82"/>
      <c r="I109" s="81"/>
      <c r="J109" s="96"/>
      <c r="K109" s="81"/>
      <c r="L109" s="125"/>
      <c r="M109" s="81"/>
      <c r="N109" s="111"/>
      <c r="O109" s="81">
        <f>SUM(G109:M109)</f>
        <v>0</v>
      </c>
      <c r="P109" s="111"/>
      <c r="Q109" s="81"/>
      <c r="R109" s="96"/>
      <c r="S109" s="81"/>
      <c r="T109" s="96"/>
      <c r="U109" s="81"/>
      <c r="V109" s="82"/>
      <c r="W109" s="81">
        <f>SUM(O109:U109)</f>
        <v>0</v>
      </c>
      <c r="X109" s="82"/>
      <c r="Y109" s="81"/>
      <c r="Z109" s="96"/>
      <c r="AA109" s="81"/>
      <c r="AB109" s="96"/>
      <c r="AC109" s="81"/>
      <c r="AD109" s="82"/>
      <c r="AE109" s="81">
        <f>SUM(W109:AC109)</f>
        <v>0</v>
      </c>
      <c r="AF109" s="82"/>
      <c r="AG109" s="81"/>
      <c r="AH109" s="96"/>
      <c r="AI109" s="81"/>
      <c r="AJ109" s="96"/>
      <c r="AK109" s="81"/>
      <c r="AL109" s="111"/>
      <c r="AM109" s="81">
        <f>SUM(AE109:AK109)</f>
        <v>0</v>
      </c>
      <c r="AN109" s="82"/>
      <c r="AO109" s="81"/>
      <c r="AP109" s="96"/>
      <c r="AQ109" s="81"/>
      <c r="AR109" s="96"/>
      <c r="AS109" s="81"/>
      <c r="AT109" s="82"/>
      <c r="AU109" s="81">
        <f>SUM(AM109:AS109)</f>
        <v>0</v>
      </c>
      <c r="AV109" s="111"/>
    </row>
    <row r="110" spans="1:48" s="100" customFormat="1" x14ac:dyDescent="0.25">
      <c r="A110" s="36" t="s">
        <v>140</v>
      </c>
      <c r="B110" s="78">
        <v>2848000</v>
      </c>
      <c r="C110" s="78"/>
      <c r="D110" s="78">
        <v>-1763</v>
      </c>
      <c r="E110" s="79"/>
      <c r="F110" s="36"/>
      <c r="G110" s="81">
        <f>2848+1062</f>
        <v>3910</v>
      </c>
      <c r="H110" s="82"/>
      <c r="I110" s="81">
        <f>-2848-1062</f>
        <v>-3910</v>
      </c>
      <c r="J110" s="96"/>
      <c r="K110" s="81"/>
      <c r="L110" s="96"/>
      <c r="M110" s="81"/>
      <c r="N110" s="111"/>
      <c r="O110" s="81">
        <f>SUM(G110:M110)</f>
        <v>0</v>
      </c>
      <c r="P110" s="111"/>
      <c r="Q110" s="81"/>
      <c r="R110" s="96"/>
      <c r="S110" s="81"/>
      <c r="T110" s="96"/>
      <c r="U110" s="81"/>
      <c r="V110" s="82"/>
      <c r="W110" s="81">
        <f>SUM(O110:U110)</f>
        <v>0</v>
      </c>
      <c r="X110" s="82"/>
      <c r="Y110" s="81"/>
      <c r="Z110" s="96"/>
      <c r="AA110" s="81"/>
      <c r="AB110" s="96"/>
      <c r="AC110" s="81"/>
      <c r="AD110" s="82"/>
      <c r="AE110" s="81">
        <f>SUM(W110:AC110)</f>
        <v>0</v>
      </c>
      <c r="AF110" s="82"/>
      <c r="AG110" s="81"/>
      <c r="AH110" s="96"/>
      <c r="AI110" s="81"/>
      <c r="AJ110" s="96"/>
      <c r="AK110" s="81"/>
      <c r="AL110" s="111"/>
      <c r="AM110" s="81">
        <f>SUM(AE110:AK110)</f>
        <v>0</v>
      </c>
      <c r="AN110" s="82"/>
      <c r="AO110" s="81"/>
      <c r="AP110" s="96"/>
      <c r="AQ110" s="81"/>
      <c r="AR110" s="96"/>
      <c r="AS110" s="81"/>
      <c r="AT110" s="82"/>
      <c r="AU110" s="81">
        <f>SUM(AM110:AS110)</f>
        <v>0</v>
      </c>
      <c r="AV110" s="111"/>
    </row>
    <row r="111" spans="1:48" s="100" customFormat="1" x14ac:dyDescent="0.25">
      <c r="A111" s="36" t="s">
        <v>141</v>
      </c>
      <c r="B111" s="78">
        <v>319256000</v>
      </c>
      <c r="C111" s="78"/>
      <c r="D111" s="78">
        <v>-1763000</v>
      </c>
      <c r="E111" s="79"/>
      <c r="F111" s="36"/>
      <c r="G111" s="81">
        <v>319256</v>
      </c>
      <c r="H111" s="82"/>
      <c r="I111" s="83">
        <v>-1763</v>
      </c>
      <c r="J111" s="96"/>
      <c r="K111" s="81"/>
      <c r="L111" s="96"/>
      <c r="M111" s="81"/>
      <c r="N111" s="111"/>
      <c r="O111" s="81">
        <f>[3]Funding!I64</f>
        <v>317493</v>
      </c>
      <c r="P111" s="111"/>
      <c r="Q111" s="81">
        <v>-1504</v>
      </c>
      <c r="R111" s="96"/>
      <c r="S111" s="81"/>
      <c r="T111" s="96"/>
      <c r="U111" s="81"/>
      <c r="V111" s="82"/>
      <c r="W111" s="81">
        <f>[3]Funding!J64</f>
        <v>315989</v>
      </c>
      <c r="X111" s="82"/>
      <c r="Y111" s="85">
        <v>-1496</v>
      </c>
      <c r="Z111" s="96"/>
      <c r="AA111" s="81"/>
      <c r="AB111" s="96"/>
      <c r="AC111" s="81"/>
      <c r="AD111" s="82"/>
      <c r="AE111" s="81">
        <f>[3]Funding!K64</f>
        <v>314492.52</v>
      </c>
      <c r="AF111" s="82"/>
      <c r="AG111" s="85">
        <v>-1489</v>
      </c>
      <c r="AH111" s="96"/>
      <c r="AI111" s="81"/>
      <c r="AJ111" s="96"/>
      <c r="AK111" s="81"/>
      <c r="AL111" s="111"/>
      <c r="AM111" s="81">
        <f>[3]Funding!L64</f>
        <v>313003.52240000002</v>
      </c>
      <c r="AN111" s="82"/>
      <c r="AO111" s="85"/>
      <c r="AP111" s="96"/>
      <c r="AQ111" s="81"/>
      <c r="AR111" s="96"/>
      <c r="AS111" s="81"/>
      <c r="AT111" s="82"/>
      <c r="AU111" s="81">
        <f>SUM(AM111:AS111)</f>
        <v>313003.52240000002</v>
      </c>
      <c r="AV111" s="111"/>
    </row>
    <row r="112" spans="1:48" ht="15.75" customHeight="1" x14ac:dyDescent="0.25">
      <c r="A112" s="35" t="s">
        <v>142</v>
      </c>
      <c r="B112" s="78">
        <v>749000</v>
      </c>
      <c r="C112" s="78"/>
      <c r="D112" s="78">
        <v>-414000</v>
      </c>
      <c r="E112" s="79"/>
      <c r="G112" s="81">
        <f>749+131</f>
        <v>880</v>
      </c>
      <c r="I112" s="81">
        <v>249</v>
      </c>
      <c r="J112" s="84"/>
      <c r="K112" s="76"/>
      <c r="L112" s="84"/>
      <c r="M112" s="76"/>
      <c r="O112" s="76">
        <f>[3]Funding!I84</f>
        <v>1129.3989999999999</v>
      </c>
      <c r="Q112" s="76"/>
      <c r="R112" s="84"/>
      <c r="S112" s="76"/>
      <c r="T112" s="84"/>
      <c r="U112" s="76"/>
      <c r="W112" s="76">
        <f>SUM(O112:U112)</f>
        <v>1129.3989999999999</v>
      </c>
      <c r="Y112" s="76"/>
      <c r="Z112" s="84"/>
      <c r="AA112" s="76"/>
      <c r="AB112" s="84"/>
      <c r="AC112" s="76"/>
      <c r="AE112" s="76">
        <f>SUM(W112:AC112)</f>
        <v>1129.3989999999999</v>
      </c>
      <c r="AG112" s="76">
        <v>0</v>
      </c>
      <c r="AH112" s="84"/>
      <c r="AI112" s="76"/>
      <c r="AJ112" s="84"/>
      <c r="AK112" s="76"/>
      <c r="AM112" s="76">
        <f>SUM(AE112:AK112)</f>
        <v>1129.3989999999999</v>
      </c>
      <c r="AO112" s="76"/>
      <c r="AP112" s="84"/>
      <c r="AQ112" s="76"/>
      <c r="AR112" s="84"/>
      <c r="AS112" s="76"/>
      <c r="AU112" s="76">
        <f>SUM(AM112:AS112)</f>
        <v>1129.3989999999999</v>
      </c>
    </row>
    <row r="113" spans="1:47" ht="26.25" hidden="1" customHeight="1" x14ac:dyDescent="0.25">
      <c r="A113" s="35" t="s">
        <v>143</v>
      </c>
      <c r="B113" s="89"/>
      <c r="C113" s="78"/>
      <c r="D113" s="89">
        <v>0</v>
      </c>
      <c r="E113" s="33"/>
      <c r="G113" s="76"/>
      <c r="I113" s="76"/>
      <c r="J113" s="84"/>
      <c r="K113" s="76"/>
      <c r="L113" s="84"/>
      <c r="M113" s="76"/>
      <c r="O113" s="76">
        <f>SUM(G113:M113)</f>
        <v>0</v>
      </c>
      <c r="Q113" s="76"/>
      <c r="R113" s="84"/>
      <c r="S113" s="76"/>
      <c r="T113" s="84"/>
      <c r="U113" s="76"/>
      <c r="W113" s="76">
        <f>SUM(O113:U113)</f>
        <v>0</v>
      </c>
      <c r="Y113" s="76"/>
      <c r="Z113" s="84"/>
      <c r="AA113" s="76"/>
      <c r="AB113" s="84"/>
      <c r="AC113" s="76"/>
      <c r="AE113" s="76">
        <f>SUM(W113:AC113)</f>
        <v>0</v>
      </c>
      <c r="AG113" s="76"/>
      <c r="AH113" s="84"/>
      <c r="AI113" s="76"/>
      <c r="AJ113" s="84"/>
      <c r="AK113" s="76"/>
      <c r="AM113" s="76">
        <f>SUM(AE113:AK113)</f>
        <v>0</v>
      </c>
      <c r="AO113" s="76"/>
      <c r="AP113" s="84"/>
      <c r="AQ113" s="76"/>
      <c r="AR113" s="84"/>
      <c r="AS113" s="76"/>
      <c r="AU113" s="76">
        <f>SUM(AM113:AS113)</f>
        <v>0</v>
      </c>
    </row>
    <row r="114" spans="1:47" ht="7.5" customHeight="1" x14ac:dyDescent="0.25">
      <c r="B114" s="89"/>
      <c r="C114" s="78"/>
      <c r="D114" s="89"/>
      <c r="E114" s="33"/>
      <c r="G114" s="76"/>
      <c r="I114" s="76"/>
      <c r="J114" s="84"/>
      <c r="K114" s="76"/>
      <c r="L114" s="84"/>
      <c r="M114" s="76"/>
      <c r="O114" s="76"/>
      <c r="Q114" s="76"/>
      <c r="R114" s="84"/>
      <c r="S114" s="76"/>
      <c r="T114" s="84"/>
      <c r="U114" s="76"/>
      <c r="W114" s="76"/>
      <c r="Y114" s="76"/>
      <c r="Z114" s="84"/>
      <c r="AA114" s="76"/>
      <c r="AB114" s="84"/>
      <c r="AC114" s="76"/>
      <c r="AE114" s="76"/>
      <c r="AG114" s="76"/>
      <c r="AH114" s="84"/>
      <c r="AI114" s="76"/>
      <c r="AJ114" s="84"/>
      <c r="AK114" s="76"/>
      <c r="AM114" s="76"/>
      <c r="AO114" s="76"/>
      <c r="AP114" s="84"/>
      <c r="AQ114" s="76"/>
      <c r="AR114" s="84"/>
      <c r="AS114" s="76"/>
      <c r="AU114" s="76"/>
    </row>
    <row r="115" spans="1:47" ht="11.25" customHeight="1" thickBot="1" x14ac:dyDescent="0.3">
      <c r="B115" s="94"/>
      <c r="C115" s="78"/>
      <c r="D115" s="94"/>
      <c r="E115" s="33"/>
      <c r="G115" s="95"/>
      <c r="I115" s="95"/>
      <c r="J115" s="84"/>
      <c r="K115" s="95"/>
      <c r="L115" s="84"/>
      <c r="M115" s="95"/>
      <c r="O115" s="95"/>
      <c r="Q115" s="95"/>
      <c r="R115" s="84"/>
      <c r="S115" s="95"/>
      <c r="T115" s="84"/>
      <c r="U115" s="95"/>
      <c r="W115" s="95"/>
      <c r="Y115" s="95"/>
      <c r="Z115" s="84"/>
      <c r="AA115" s="95"/>
      <c r="AB115" s="84"/>
      <c r="AC115" s="95"/>
      <c r="AE115" s="95"/>
      <c r="AG115" s="95"/>
      <c r="AH115" s="84"/>
      <c r="AI115" s="95"/>
      <c r="AJ115" s="84"/>
      <c r="AK115" s="95"/>
      <c r="AM115" s="95"/>
      <c r="AO115" s="95"/>
      <c r="AP115" s="84"/>
      <c r="AQ115" s="95"/>
      <c r="AR115" s="84"/>
      <c r="AS115" s="95"/>
      <c r="AU115" s="95"/>
    </row>
    <row r="116" spans="1:47" ht="27.75" customHeight="1" thickBot="1" x14ac:dyDescent="0.3">
      <c r="A116" s="108" t="s">
        <v>144</v>
      </c>
      <c r="B116" s="91">
        <v>322853000</v>
      </c>
      <c r="C116" s="78"/>
      <c r="D116" s="91">
        <f>SUM(D110:D115)</f>
        <v>-2178763</v>
      </c>
      <c r="E116" s="33"/>
      <c r="F116" s="110"/>
      <c r="G116" s="93">
        <f>SUM(G109:G115)</f>
        <v>324046</v>
      </c>
      <c r="H116" s="93"/>
      <c r="I116" s="93">
        <f>SUM(I109:I115)</f>
        <v>-5424</v>
      </c>
      <c r="J116" s="93"/>
      <c r="K116" s="93">
        <f>SUM(K109:K115)</f>
        <v>0</v>
      </c>
      <c r="L116" s="93"/>
      <c r="M116" s="93">
        <f>SUM(M109:M115)</f>
        <v>0</v>
      </c>
      <c r="N116" s="126"/>
      <c r="O116" s="93">
        <f>SUM(O109:O115)</f>
        <v>318622.39899999998</v>
      </c>
      <c r="P116" s="126"/>
      <c r="Q116" s="93">
        <f>SUM(Q109:Q115)</f>
        <v>-1504</v>
      </c>
      <c r="R116" s="93"/>
      <c r="S116" s="93">
        <f>SUM(S109:S115)</f>
        <v>0</v>
      </c>
      <c r="T116" s="93"/>
      <c r="U116" s="93">
        <f>SUM(U109:U115)</f>
        <v>0</v>
      </c>
      <c r="V116" s="93"/>
      <c r="W116" s="93">
        <f>SUM(W109:W115)</f>
        <v>317118.39899999998</v>
      </c>
      <c r="Y116" s="93">
        <f>SUM(Y109:Y115)</f>
        <v>-1496</v>
      </c>
      <c r="Z116" s="93"/>
      <c r="AA116" s="93">
        <f>SUM(AA109:AA115)</f>
        <v>0</v>
      </c>
      <c r="AB116" s="93"/>
      <c r="AC116" s="93">
        <f>SUM(AC109:AC115)</f>
        <v>0</v>
      </c>
      <c r="AD116" s="93"/>
      <c r="AE116" s="93">
        <f>SUM(AE109:AE115)</f>
        <v>315621.91899999999</v>
      </c>
      <c r="AG116" s="93">
        <f>SUM(AG109:AG115)</f>
        <v>-1489</v>
      </c>
      <c r="AH116" s="93"/>
      <c r="AI116" s="93">
        <f>SUM(AI109:AI115)</f>
        <v>0</v>
      </c>
      <c r="AJ116" s="93"/>
      <c r="AK116" s="93">
        <f>SUM(AK109:AK115)</f>
        <v>0</v>
      </c>
      <c r="AL116" s="126"/>
      <c r="AM116" s="93">
        <f>SUM(AM109:AM115)</f>
        <v>314132.92139999999</v>
      </c>
      <c r="AO116" s="93">
        <f>SUM(AO109:AO115)</f>
        <v>0</v>
      </c>
      <c r="AP116" s="93"/>
      <c r="AQ116" s="93">
        <f>SUM(AQ109:AQ115)</f>
        <v>0</v>
      </c>
      <c r="AR116" s="93"/>
      <c r="AS116" s="93">
        <f>SUM(AS109:AS115)</f>
        <v>0</v>
      </c>
      <c r="AT116" s="93"/>
      <c r="AU116" s="93">
        <f>SUM(AU109:AU115)</f>
        <v>314132.92139999999</v>
      </c>
    </row>
    <row r="117" spans="1:47" ht="19.5" thickTop="1" thickBot="1" x14ac:dyDescent="0.3">
      <c r="B117" s="127"/>
      <c r="C117" s="78"/>
      <c r="D117" s="127"/>
      <c r="E117" s="69"/>
      <c r="G117" s="128"/>
      <c r="I117" s="95"/>
      <c r="J117" s="61"/>
      <c r="K117" s="128"/>
      <c r="L117" s="61"/>
      <c r="M117" s="95"/>
      <c r="O117" s="128"/>
      <c r="Q117" s="95"/>
      <c r="R117" s="61"/>
      <c r="S117" s="128"/>
      <c r="T117" s="61"/>
      <c r="U117" s="95"/>
      <c r="W117" s="128"/>
      <c r="Y117" s="95"/>
      <c r="Z117" s="61"/>
      <c r="AA117" s="128"/>
      <c r="AB117" s="61"/>
      <c r="AC117" s="95"/>
      <c r="AE117" s="128"/>
      <c r="AG117" s="95"/>
      <c r="AH117" s="61"/>
      <c r="AI117" s="128"/>
      <c r="AJ117" s="61"/>
      <c r="AK117" s="95"/>
      <c r="AM117" s="128"/>
      <c r="AO117" s="95"/>
      <c r="AP117" s="61"/>
      <c r="AQ117" s="128"/>
      <c r="AR117" s="61"/>
      <c r="AS117" s="95"/>
      <c r="AU117" s="128"/>
    </row>
    <row r="118" spans="1:47" x14ac:dyDescent="0.25">
      <c r="B118" s="33"/>
      <c r="C118" s="78"/>
      <c r="D118" s="33"/>
      <c r="E118" s="33"/>
    </row>
    <row r="119" spans="1:47" ht="6.75" customHeight="1" thickBot="1" x14ac:dyDescent="0.3">
      <c r="B119" s="105"/>
      <c r="C119" s="78"/>
      <c r="D119" s="105"/>
      <c r="E119" s="69"/>
      <c r="G119" s="106"/>
      <c r="H119" s="61"/>
      <c r="I119" s="107"/>
      <c r="J119" s="61"/>
      <c r="K119" s="106"/>
      <c r="L119" s="61"/>
      <c r="M119" s="107"/>
      <c r="O119" s="106"/>
      <c r="P119" s="64"/>
      <c r="Q119" s="107"/>
      <c r="R119" s="61"/>
      <c r="S119" s="106"/>
      <c r="T119" s="61"/>
      <c r="U119" s="107"/>
      <c r="W119" s="106"/>
      <c r="Y119" s="107"/>
      <c r="Z119" s="61"/>
      <c r="AA119" s="106"/>
      <c r="AB119" s="61"/>
      <c r="AC119" s="107"/>
      <c r="AE119" s="106"/>
      <c r="AG119" s="107"/>
      <c r="AH119" s="61"/>
      <c r="AI119" s="106"/>
      <c r="AJ119" s="61"/>
      <c r="AK119" s="107"/>
      <c r="AM119" s="106"/>
      <c r="AO119" s="107"/>
      <c r="AP119" s="61"/>
      <c r="AQ119" s="106"/>
      <c r="AR119" s="61"/>
      <c r="AS119" s="107"/>
      <c r="AU119" s="106"/>
    </row>
    <row r="120" spans="1:47" ht="28.5" customHeight="1" thickBot="1" x14ac:dyDescent="0.3">
      <c r="A120" s="108" t="s">
        <v>145</v>
      </c>
      <c r="B120" s="91">
        <v>85324000</v>
      </c>
      <c r="C120" s="78"/>
      <c r="D120" s="91"/>
      <c r="E120" s="33"/>
      <c r="F120" s="110"/>
      <c r="G120" s="93">
        <v>85324</v>
      </c>
      <c r="I120" s="122">
        <v>4875</v>
      </c>
      <c r="K120" s="93"/>
      <c r="M120" s="93"/>
      <c r="O120" s="93">
        <f>[3]Funding!I67</f>
        <v>90199</v>
      </c>
      <c r="Q120" s="93">
        <f>[3]Funding!J67-[3]Funding!I67</f>
        <v>2715.0752612824726</v>
      </c>
      <c r="S120" s="93"/>
      <c r="U120" s="93"/>
      <c r="W120" s="93">
        <f>SUM(O120:U120)</f>
        <v>92914.075261282473</v>
      </c>
      <c r="Y120" s="93">
        <f>[3]Funding!K67-[3]Funding!J67</f>
        <v>2796.6207512893452</v>
      </c>
      <c r="AA120" s="93"/>
      <c r="AC120" s="93"/>
      <c r="AE120" s="93">
        <f>SUM(W120:AC120)</f>
        <v>95710.696012571818</v>
      </c>
      <c r="AG120" s="93">
        <f>[3]Funding!L67-[3]Funding!K67</f>
        <v>2880.796239282412</v>
      </c>
      <c r="AI120" s="93"/>
      <c r="AK120" s="93"/>
      <c r="AM120" s="93">
        <f>SUM(AE120:AK120)</f>
        <v>98591.49225185423</v>
      </c>
      <c r="AO120" s="93">
        <f>[3]Funding!M67-[3]Funding!L67</f>
        <v>2977.463066005992</v>
      </c>
      <c r="AQ120" s="93"/>
      <c r="AS120" s="93"/>
      <c r="AU120" s="93">
        <f>SUM(AM120:AS120)</f>
        <v>101568.95531786022</v>
      </c>
    </row>
    <row r="121" spans="1:47" ht="19.5" thickTop="1" thickBot="1" x14ac:dyDescent="0.3">
      <c r="A121" s="35">
        <f>6</f>
        <v>6</v>
      </c>
      <c r="B121" s="127"/>
      <c r="C121" s="78"/>
      <c r="D121" s="127"/>
      <c r="E121" s="69"/>
      <c r="G121" s="128"/>
      <c r="I121" s="95"/>
      <c r="J121" s="61"/>
      <c r="K121" s="128"/>
      <c r="L121" s="61"/>
      <c r="M121" s="95"/>
      <c r="O121" s="128"/>
      <c r="Q121" s="95"/>
      <c r="R121" s="61"/>
      <c r="S121" s="128"/>
      <c r="T121" s="61"/>
      <c r="U121" s="95"/>
      <c r="W121" s="128" t="s">
        <v>1</v>
      </c>
      <c r="Y121" s="95"/>
      <c r="Z121" s="61"/>
      <c r="AA121" s="128"/>
      <c r="AB121" s="61"/>
      <c r="AC121" s="95"/>
      <c r="AE121" s="128"/>
      <c r="AG121" s="95"/>
      <c r="AH121" s="61"/>
      <c r="AI121" s="128"/>
      <c r="AJ121" s="61"/>
      <c r="AK121" s="95"/>
      <c r="AM121" s="128"/>
      <c r="AO121" s="95"/>
      <c r="AP121" s="61"/>
      <c r="AQ121" s="128"/>
      <c r="AR121" s="61"/>
      <c r="AS121" s="95"/>
      <c r="AU121" s="128"/>
    </row>
    <row r="122" spans="1:47" x14ac:dyDescent="0.25">
      <c r="B122" s="33"/>
      <c r="C122" s="78"/>
      <c r="D122" s="33"/>
      <c r="E122" s="33"/>
    </row>
    <row r="123" spans="1:47" ht="0.75" customHeight="1" thickBot="1" x14ac:dyDescent="0.3">
      <c r="B123" s="105"/>
      <c r="C123" s="78"/>
      <c r="D123" s="105"/>
      <c r="E123" s="69"/>
      <c r="G123" s="106"/>
      <c r="H123" s="61"/>
      <c r="I123" s="107"/>
      <c r="J123" s="61"/>
      <c r="K123" s="106"/>
      <c r="L123" s="61"/>
      <c r="M123" s="107"/>
      <c r="O123" s="106"/>
      <c r="P123" s="64"/>
      <c r="Q123" s="107"/>
      <c r="R123" s="61"/>
      <c r="S123" s="106"/>
      <c r="T123" s="61"/>
      <c r="U123" s="107"/>
      <c r="W123" s="106"/>
      <c r="Y123" s="107"/>
      <c r="Z123" s="61"/>
      <c r="AA123" s="106"/>
      <c r="AB123" s="61"/>
      <c r="AC123" s="107"/>
      <c r="AE123" s="106"/>
      <c r="AG123" s="107"/>
      <c r="AH123" s="61"/>
      <c r="AI123" s="106"/>
      <c r="AJ123" s="61"/>
      <c r="AK123" s="107"/>
      <c r="AM123" s="106"/>
      <c r="AO123" s="107"/>
      <c r="AP123" s="61"/>
      <c r="AQ123" s="106"/>
      <c r="AR123" s="61"/>
      <c r="AS123" s="107"/>
      <c r="AU123" s="106"/>
    </row>
    <row r="124" spans="1:47" ht="18.75" thickBot="1" x14ac:dyDescent="0.3">
      <c r="A124" s="108" t="s">
        <v>146</v>
      </c>
      <c r="B124" s="93"/>
      <c r="C124" s="78"/>
      <c r="D124" s="93"/>
      <c r="F124" s="110"/>
      <c r="G124" s="93"/>
      <c r="I124" s="93"/>
      <c r="K124" s="93"/>
      <c r="M124" s="93"/>
      <c r="O124" s="93">
        <f>O107-O116-O120</f>
        <v>-6.9698602892458439E-3</v>
      </c>
      <c r="Q124" s="93"/>
      <c r="S124" s="93"/>
      <c r="U124" s="93"/>
      <c r="W124" s="93">
        <f>W107-W116-W120</f>
        <v>7092.5178473141568</v>
      </c>
      <c r="Y124" s="93">
        <v>0</v>
      </c>
      <c r="AA124" s="93"/>
      <c r="AC124" s="93"/>
      <c r="AE124" s="93">
        <f>AE107-AE116-AE120</f>
        <v>13110.116758990669</v>
      </c>
      <c r="AG124" s="93"/>
      <c r="AI124" s="93"/>
      <c r="AK124" s="93"/>
      <c r="AM124" s="93">
        <f>AM107-AM116-AM120</f>
        <v>16191.856275709739</v>
      </c>
      <c r="AO124" s="93">
        <v>0</v>
      </c>
      <c r="AQ124" s="93"/>
      <c r="AS124" s="93"/>
      <c r="AU124" s="93">
        <f>AU107-AU116-AU120</f>
        <v>7265.3185535592638</v>
      </c>
    </row>
    <row r="125" spans="1:47" ht="19.5" thickTop="1" thickBot="1" x14ac:dyDescent="0.3">
      <c r="B125" s="128"/>
      <c r="C125" s="78"/>
      <c r="D125" s="128"/>
      <c r="E125" s="129"/>
      <c r="G125" s="128"/>
      <c r="I125" s="95"/>
      <c r="J125" s="61"/>
      <c r="K125" s="128"/>
      <c r="L125" s="61"/>
      <c r="M125" s="95"/>
      <c r="O125" s="128"/>
      <c r="Q125" s="95"/>
      <c r="R125" s="61"/>
      <c r="S125" s="128"/>
      <c r="T125" s="61"/>
      <c r="U125" s="95"/>
      <c r="W125" s="128"/>
      <c r="Y125" s="95"/>
      <c r="Z125" s="61"/>
      <c r="AA125" s="128"/>
      <c r="AB125" s="61"/>
      <c r="AC125" s="95"/>
      <c r="AE125" s="128"/>
      <c r="AG125" s="95"/>
      <c r="AH125" s="61"/>
      <c r="AI125" s="128"/>
      <c r="AJ125" s="61"/>
      <c r="AK125" s="95"/>
      <c r="AM125" s="128"/>
      <c r="AO125" s="95"/>
      <c r="AP125" s="61"/>
      <c r="AQ125" s="128"/>
      <c r="AR125" s="61"/>
      <c r="AS125" s="95"/>
      <c r="AU125" s="128"/>
    </row>
    <row r="126" spans="1:47" x14ac:dyDescent="0.25">
      <c r="B126" s="33"/>
      <c r="D126" s="33"/>
      <c r="E126" s="33"/>
      <c r="O126" s="65" t="s">
        <v>1</v>
      </c>
      <c r="W126" s="65" t="s">
        <v>1</v>
      </c>
      <c r="AE126" s="65" t="s">
        <v>1</v>
      </c>
      <c r="AM126" s="65" t="s">
        <v>1</v>
      </c>
    </row>
    <row r="127" spans="1:47" x14ac:dyDescent="0.25">
      <c r="B127" s="33"/>
      <c r="D127" s="33"/>
      <c r="E127" s="33"/>
    </row>
    <row r="128" spans="1:47" x14ac:dyDescent="0.25">
      <c r="B128" s="33"/>
      <c r="D128" s="33"/>
      <c r="E128" s="33"/>
    </row>
    <row r="129" spans="1:47" x14ac:dyDescent="0.25">
      <c r="B129" s="33"/>
      <c r="D129" s="33"/>
      <c r="E129" s="33"/>
      <c r="G129" s="130"/>
      <c r="O129" s="130"/>
      <c r="W129" s="130"/>
    </row>
    <row r="130" spans="1:47" x14ac:dyDescent="0.25">
      <c r="B130" s="33"/>
      <c r="D130" s="33"/>
      <c r="E130" s="33"/>
      <c r="G130" s="130"/>
      <c r="O130" s="130"/>
      <c r="W130" s="130"/>
      <c r="AE130" s="130"/>
      <c r="AM130" s="130"/>
      <c r="AU130" s="130"/>
    </row>
    <row r="131" spans="1:47" x14ac:dyDescent="0.25">
      <c r="A131" s="34"/>
      <c r="B131" s="33"/>
      <c r="D131" s="33"/>
      <c r="E131" s="33"/>
      <c r="F131" s="100"/>
    </row>
    <row r="132" spans="1:47" x14ac:dyDescent="0.25">
      <c r="B132" s="33"/>
      <c r="D132" s="33"/>
      <c r="E132" s="33"/>
    </row>
    <row r="133" spans="1:47" x14ac:dyDescent="0.25">
      <c r="B133" s="33"/>
      <c r="D133" s="33"/>
      <c r="E133" s="33"/>
    </row>
    <row r="134" spans="1:47" x14ac:dyDescent="0.25">
      <c r="B134" s="33"/>
      <c r="D134" s="33"/>
      <c r="E134" s="33"/>
    </row>
    <row r="145" spans="15:23" x14ac:dyDescent="0.25">
      <c r="O145" s="65" t="s">
        <v>1</v>
      </c>
    </row>
    <row r="146" spans="15:23" x14ac:dyDescent="0.25">
      <c r="O146" s="65" t="s">
        <v>1</v>
      </c>
    </row>
    <row r="148" spans="15:23" x14ac:dyDescent="0.25">
      <c r="O148" s="65" t="s">
        <v>1</v>
      </c>
      <c r="W148" s="65" t="s">
        <v>1</v>
      </c>
    </row>
  </sheetData>
  <pageMargins left="0.23622047244094491" right="0.11811023622047245" top="0.35433070866141736" bottom="0.23622047244094491" header="0.19685039370078741" footer="0.35433070866141736"/>
  <pageSetup paperSize="8" scale="40" fitToHeight="0" orientation="landscape" r:id="rId1"/>
  <headerFooter alignWithMargins="0"/>
  <rowBreaks count="1" manualBreakCount="1"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Type>10001</Type>
    <SequenceNumber>101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10002</Type>
    <SequenceNumber>102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10004</Type>
    <SequenceNumber>103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10006</Type>
    <SequenceNumber>104</SequenceNumber>
    <Assembly>Microsoft.Office.Policy, Version=12.0.0.0,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316FCF5F64740A5B591D01EEC9D07" ma:contentTypeVersion="1" ma:contentTypeDescription="Create a new document." ma:contentTypeScope="" ma:versionID="a08b3e75a23c1d31ae00e5530fcf900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p:Policy xmlns:p="office.server.policy" id="" local="true">
  <p:Name>Expiration Policy</p:Name>
  <p:Description/>
  <p:Statement/>
  <p:PolicyItems>
    <p:PolicyItem featureId="Microsoft.Office.RecordsManagement.PolicyFeatures.Expiration">
      <p:Name>Expiration</p:Name>
      <p:Description>Automatic scheduling of content for processing, and expiry of content that has reached its due date.</p:Description>
      <p:CustomData>
        <data>
          <formula id="Microsoft.Office.RecordsManagement.PolicyFeatures.Expiration.Formula.BuiltIn">
            <number>7</number>
            <property>Last_x0020_Review_x0020_Date</property>
            <period>years</period>
          </formula>
          <action type="workflow" id="29766857-7566-4549-8640-e29807ee9d83"/>
        </data>
      </p:CustomData>
    </p:PolicyItem>
  </p:PolicyItems>
</p:Policy>
</file>

<file path=customXml/itemProps1.xml><?xml version="1.0" encoding="utf-8"?>
<ds:datastoreItem xmlns:ds="http://schemas.openxmlformats.org/officeDocument/2006/customXml" ds:itemID="{9B25D738-F8C2-4D6C-8360-B8E3F4392BD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BD4D251-3491-45EC-8BC1-92C822B25BB1}"/>
</file>

<file path=customXml/itemProps3.xml><?xml version="1.0" encoding="utf-8"?>
<ds:datastoreItem xmlns:ds="http://schemas.openxmlformats.org/officeDocument/2006/customXml" ds:itemID="{DFD01E22-8FA3-4243-BBDE-75005CAB0AF1}"/>
</file>

<file path=customXml/itemProps4.xml><?xml version="1.0" encoding="utf-8"?>
<ds:datastoreItem xmlns:ds="http://schemas.openxmlformats.org/officeDocument/2006/customXml" ds:itemID="{DE7C2590-5A5C-4F7F-B580-A1EF041A112E}"/>
</file>

<file path=customXml/itemProps5.xml><?xml version="1.0" encoding="utf-8"?>
<ds:datastoreItem xmlns:ds="http://schemas.openxmlformats.org/officeDocument/2006/customXml" ds:itemID="{E63D52EC-2FC6-4D69-876F-42A5D4A1C9E6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Appendix D</vt:lpstr>
      <vt:lpstr>Appendix C</vt:lpstr>
      <vt:lpstr>'Appendix C'!Print_Area</vt:lpstr>
      <vt:lpstr>'Appendix C'!Print_Titles</vt:lpstr>
    </vt:vector>
  </TitlesOfParts>
  <Company>West Yorkshire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5 - PCC Precept Proposal 2016-17 App C and D</dc:title>
  <dc:creator>cliacc</dc:creator>
  <cp:lastModifiedBy>Duckett, Emma</cp:lastModifiedBy>
  <cp:lastPrinted>2016-01-28T15:39:10Z</cp:lastPrinted>
  <dcterms:created xsi:type="dcterms:W3CDTF">2016-01-25T13:05:53Z</dcterms:created>
  <dcterms:modified xsi:type="dcterms:W3CDTF">2016-01-28T15:39:57Z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0x0101002E9316FCF5F64740A5B591D01EEC9D07</vt:lpwstr>
  </property>
</Properties>
</file>