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Appendix B" sheetId="6" r:id="rId1"/>
    <sheet name="Appendix C" sheetId="2" r:id="rId2"/>
    <sheet name="Appendix D" sheetId="7" r:id="rId3"/>
  </sheets>
  <externalReferences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CENSUS_CALC">'[1].CENSUS_DATA'!#REF!</definedName>
    <definedName name="CENSUS_PRCNT">'[1].CENSUS_DATA'!#REF!</definedName>
    <definedName name="CRIT_CENSUS">'[1].CENSUS_DATA'!#REF!</definedName>
    <definedName name="CRIT_DFGMAND">[1]DFG_MANDATORY!#REF!</definedName>
    <definedName name="CRIT_HMO">[1]HMO!#REF!</definedName>
    <definedName name="CRIT_HOMEREP">[1]HOME_REPAIR!#REF!</definedName>
    <definedName name="CRIT_RENGRANT">'[1].RENOVATION_GRANT'!#REF!</definedName>
    <definedName name="CRIT_RENTEXP">#REF!</definedName>
    <definedName name="CRIT_SCHOOL">#REF!</definedName>
    <definedName name="CRIT_UNEMP">#REF!</definedName>
    <definedName name="EDUCATION">#REF!</definedName>
    <definedName name="EDUCATION_EXPBLK">#REF!</definedName>
    <definedName name="HEADS">#REF!</definedName>
    <definedName name="HEADS_EXPBLK">#REF!</definedName>
    <definedName name="Police2010_11">#REF!</definedName>
    <definedName name="_xlnm.Print_Titles" localSheetId="1">'Appendix C'!$3:$10</definedName>
    <definedName name="Provorfin">#REF!</definedName>
    <definedName name="RENGRANT_PRCNT">'[1].RENOVATION_GRANT'!#REF!</definedName>
    <definedName name="RENTEXP">#REF!</definedName>
    <definedName name="RENTEXP_EXPBLK">#REF!</definedName>
    <definedName name="RENTEXP_PRCNT">#REF!</definedName>
    <definedName name="round_factor">'[2]Monetary Control totals'!$B$19</definedName>
    <definedName name="SCHOOL_PRCNT">#REF!</definedName>
    <definedName name="TRAVEL">#REF!</definedName>
    <definedName name="TRAVEL_EXPBLK">#REF!</definedName>
    <definedName name="UNINTENT2">[1]UNINTENT_HOME!#REF!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7" l="1"/>
  <c r="I66" i="7"/>
  <c r="I63" i="7"/>
  <c r="I55" i="7"/>
  <c r="H51" i="7"/>
  <c r="H50" i="7"/>
  <c r="I51" i="7" s="1"/>
  <c r="H49" i="7"/>
  <c r="H45" i="7"/>
  <c r="H44" i="7"/>
  <c r="I39" i="7"/>
  <c r="H36" i="7"/>
  <c r="I36" i="7" s="1"/>
  <c r="H32" i="7"/>
  <c r="H31" i="7"/>
  <c r="H30" i="7"/>
  <c r="H29" i="7"/>
  <c r="H28" i="7"/>
  <c r="H26" i="7"/>
  <c r="H24" i="7"/>
  <c r="H23" i="7"/>
  <c r="I32" i="7" s="1"/>
  <c r="H19" i="7"/>
  <c r="I20" i="7" s="1"/>
  <c r="J20" i="7" s="1"/>
  <c r="H15" i="7"/>
  <c r="H14" i="7"/>
  <c r="H13" i="7"/>
  <c r="I7" i="7"/>
  <c r="J39" i="7" s="1"/>
  <c r="U25" i="6"/>
  <c r="S25" i="6"/>
  <c r="O25" i="6"/>
  <c r="M25" i="6"/>
  <c r="I25" i="6"/>
  <c r="G25" i="6"/>
  <c r="C25" i="6"/>
  <c r="V24" i="6"/>
  <c r="V25" i="6" s="1"/>
  <c r="U24" i="6"/>
  <c r="S24" i="6"/>
  <c r="R24" i="6"/>
  <c r="R25" i="6" s="1"/>
  <c r="P24" i="6"/>
  <c r="P25" i="6" s="1"/>
  <c r="O24" i="6"/>
  <c r="M24" i="6"/>
  <c r="L24" i="6"/>
  <c r="L25" i="6" s="1"/>
  <c r="J24" i="6"/>
  <c r="J25" i="6" s="1"/>
  <c r="I24" i="6"/>
  <c r="G24" i="6"/>
  <c r="F24" i="6"/>
  <c r="F25" i="6" s="1"/>
  <c r="D24" i="6"/>
  <c r="D25" i="6" s="1"/>
  <c r="C24" i="6"/>
  <c r="E23" i="6"/>
  <c r="H23" i="6" s="1"/>
  <c r="K23" i="6" s="1"/>
  <c r="N23" i="6" s="1"/>
  <c r="Q23" i="6" s="1"/>
  <c r="T23" i="6" s="1"/>
  <c r="W23" i="6" s="1"/>
  <c r="H22" i="6"/>
  <c r="K22" i="6" s="1"/>
  <c r="N22" i="6" s="1"/>
  <c r="Q22" i="6" s="1"/>
  <c r="T22" i="6" s="1"/>
  <c r="W22" i="6" s="1"/>
  <c r="E22" i="6"/>
  <c r="E21" i="6"/>
  <c r="H21" i="6" s="1"/>
  <c r="K21" i="6" s="1"/>
  <c r="N21" i="6" s="1"/>
  <c r="Q21" i="6" s="1"/>
  <c r="T21" i="6" s="1"/>
  <c r="W21" i="6" s="1"/>
  <c r="H20" i="6"/>
  <c r="K20" i="6" s="1"/>
  <c r="N20" i="6" s="1"/>
  <c r="Q20" i="6" s="1"/>
  <c r="T20" i="6" s="1"/>
  <c r="W20" i="6" s="1"/>
  <c r="E20" i="6"/>
  <c r="K19" i="6"/>
  <c r="N19" i="6" s="1"/>
  <c r="Q19" i="6" s="1"/>
  <c r="T19" i="6" s="1"/>
  <c r="W19" i="6" s="1"/>
  <c r="E19" i="6"/>
  <c r="H19" i="6" s="1"/>
  <c r="H18" i="6"/>
  <c r="K18" i="6" s="1"/>
  <c r="N18" i="6" s="1"/>
  <c r="Q18" i="6" s="1"/>
  <c r="T18" i="6" s="1"/>
  <c r="W18" i="6" s="1"/>
  <c r="E18" i="6"/>
  <c r="J17" i="6"/>
  <c r="H17" i="6"/>
  <c r="K17" i="6" s="1"/>
  <c r="N17" i="6" s="1"/>
  <c r="Q17" i="6" s="1"/>
  <c r="T17" i="6" s="1"/>
  <c r="W17" i="6" s="1"/>
  <c r="E17" i="6"/>
  <c r="K16" i="6"/>
  <c r="N16" i="6" s="1"/>
  <c r="Q16" i="6" s="1"/>
  <c r="T16" i="6" s="1"/>
  <c r="W16" i="6" s="1"/>
  <c r="E16" i="6"/>
  <c r="H16" i="6" s="1"/>
  <c r="E15" i="6"/>
  <c r="H15" i="6" s="1"/>
  <c r="K15" i="6" s="1"/>
  <c r="N15" i="6" s="1"/>
  <c r="Q15" i="6" s="1"/>
  <c r="T15" i="6" s="1"/>
  <c r="N14" i="6"/>
  <c r="Q14" i="6" s="1"/>
  <c r="T14" i="6" s="1"/>
  <c r="W14" i="6" s="1"/>
  <c r="H14" i="6"/>
  <c r="K14" i="6" s="1"/>
  <c r="E14" i="6"/>
  <c r="E13" i="6"/>
  <c r="H13" i="6" s="1"/>
  <c r="K13" i="6" s="1"/>
  <c r="N13" i="6" s="1"/>
  <c r="Q13" i="6" s="1"/>
  <c r="T13" i="6" s="1"/>
  <c r="W13" i="6" s="1"/>
  <c r="N12" i="6"/>
  <c r="Q12" i="6" s="1"/>
  <c r="T12" i="6" s="1"/>
  <c r="W12" i="6" s="1"/>
  <c r="H12" i="6"/>
  <c r="K12" i="6" s="1"/>
  <c r="E12" i="6"/>
  <c r="E11" i="6"/>
  <c r="H11" i="6" s="1"/>
  <c r="K11" i="6" s="1"/>
  <c r="N11" i="6" s="1"/>
  <c r="Q11" i="6" s="1"/>
  <c r="T11" i="6" s="1"/>
  <c r="W11" i="6" s="1"/>
  <c r="H10" i="6"/>
  <c r="E10" i="6"/>
  <c r="E24" i="6" s="1"/>
  <c r="Q9" i="6"/>
  <c r="T9" i="6" s="1"/>
  <c r="W9" i="6" s="1"/>
  <c r="K9" i="6"/>
  <c r="N9" i="6" s="1"/>
  <c r="E9" i="6"/>
  <c r="N8" i="6"/>
  <c r="Q8" i="6" s="1"/>
  <c r="T8" i="6" s="1"/>
  <c r="H8" i="6"/>
  <c r="K8" i="6" s="1"/>
  <c r="H7" i="6"/>
  <c r="K7" i="6" s="1"/>
  <c r="N7" i="6" s="1"/>
  <c r="Q7" i="6" s="1"/>
  <c r="T7" i="6" s="1"/>
  <c r="W7" i="6" s="1"/>
  <c r="E7" i="6"/>
  <c r="K6" i="6"/>
  <c r="N6" i="6" s="1"/>
  <c r="Q6" i="6" s="1"/>
  <c r="T6" i="6" s="1"/>
  <c r="W6" i="6" s="1"/>
  <c r="E6" i="6"/>
  <c r="H6" i="6" s="1"/>
  <c r="F5" i="6"/>
  <c r="E5" i="6"/>
  <c r="H5" i="6" s="1"/>
  <c r="K5" i="6" s="1"/>
  <c r="N5" i="6" s="1"/>
  <c r="Q5" i="6" s="1"/>
  <c r="T5" i="6" s="1"/>
  <c r="W5" i="6" s="1"/>
  <c r="D5" i="6"/>
  <c r="J32" i="7" l="1"/>
  <c r="J36" i="7"/>
  <c r="J51" i="7"/>
  <c r="J55" i="7"/>
  <c r="I15" i="7"/>
  <c r="I58" i="7" s="1"/>
  <c r="J58" i="7" s="1"/>
  <c r="I45" i="7"/>
  <c r="J45" i="7" s="1"/>
  <c r="I69" i="7"/>
  <c r="J15" i="7"/>
  <c r="E25" i="6"/>
  <c r="K10" i="6"/>
  <c r="H24" i="6"/>
  <c r="H25" i="6" s="1"/>
  <c r="K24" i="6" l="1"/>
  <c r="K25" i="6" s="1"/>
  <c r="N10" i="6"/>
  <c r="Q10" i="6" l="1"/>
  <c r="N24" i="6"/>
  <c r="N25" i="6" s="1"/>
  <c r="Q24" i="6" l="1"/>
  <c r="Q25" i="6" s="1"/>
  <c r="T10" i="6"/>
  <c r="W10" i="6" l="1"/>
  <c r="W24" i="6" s="1"/>
  <c r="W25" i="6" s="1"/>
  <c r="T24" i="6"/>
  <c r="T25" i="6" s="1"/>
  <c r="A114" i="2" l="1"/>
  <c r="BB113" i="2"/>
  <c r="AT113" i="2"/>
  <c r="AL113" i="2"/>
  <c r="AD113" i="2"/>
  <c r="V113" i="2"/>
  <c r="H113" i="2"/>
  <c r="F113" i="2"/>
  <c r="BF109" i="2"/>
  <c r="BD109" i="2"/>
  <c r="AX109" i="2"/>
  <c r="AV109" i="2"/>
  <c r="AP109" i="2"/>
  <c r="AN109" i="2"/>
  <c r="AH109" i="2"/>
  <c r="AF109" i="2"/>
  <c r="Z109" i="2"/>
  <c r="R109" i="2"/>
  <c r="L109" i="2"/>
  <c r="H109" i="2"/>
  <c r="B109" i="2"/>
  <c r="AB106" i="2"/>
  <c r="AJ106" i="2" s="1"/>
  <c r="AR106" i="2" s="1"/>
  <c r="AZ106" i="2" s="1"/>
  <c r="BH106" i="2" s="1"/>
  <c r="F106" i="2"/>
  <c r="V105" i="2"/>
  <c r="J105" i="2"/>
  <c r="N105" i="2" s="1"/>
  <c r="T105" i="2" s="1"/>
  <c r="F105" i="2"/>
  <c r="BB104" i="2"/>
  <c r="BB109" i="2" s="1"/>
  <c r="AT104" i="2"/>
  <c r="AT109" i="2" s="1"/>
  <c r="AL104" i="2"/>
  <c r="AD104" i="2"/>
  <c r="V104" i="2"/>
  <c r="J104" i="2"/>
  <c r="N104" i="2" s="1"/>
  <c r="T104" i="2" s="1"/>
  <c r="F104" i="2"/>
  <c r="AL103" i="2"/>
  <c r="AD103" i="2"/>
  <c r="V103" i="2"/>
  <c r="P103" i="2"/>
  <c r="P109" i="2" s="1"/>
  <c r="D103" i="2"/>
  <c r="D109" i="2" s="1"/>
  <c r="AL102" i="2"/>
  <c r="N102" i="2"/>
  <c r="T102" i="2" s="1"/>
  <c r="F102" i="2"/>
  <c r="BF97" i="2"/>
  <c r="BD97" i="2"/>
  <c r="BB97" i="2"/>
  <c r="AX97" i="2"/>
  <c r="AV97" i="2"/>
  <c r="AT97" i="2"/>
  <c r="AP97" i="2"/>
  <c r="AN97" i="2"/>
  <c r="AL97" i="2"/>
  <c r="AH97" i="2"/>
  <c r="AF97" i="2"/>
  <c r="AD97" i="2"/>
  <c r="H97" i="2"/>
  <c r="B97" i="2"/>
  <c r="Z96" i="2"/>
  <c r="R96" i="2"/>
  <c r="H96" i="2"/>
  <c r="D96" i="2"/>
  <c r="F96" i="2" s="1"/>
  <c r="Z95" i="2"/>
  <c r="X95" i="2"/>
  <c r="V95" i="2"/>
  <c r="R95" i="2"/>
  <c r="P95" i="2"/>
  <c r="L95" i="2"/>
  <c r="H95" i="2"/>
  <c r="D95" i="2"/>
  <c r="F95" i="2" s="1"/>
  <c r="Z94" i="2"/>
  <c r="X94" i="2"/>
  <c r="X97" i="2" s="1"/>
  <c r="V94" i="2"/>
  <c r="V97" i="2" s="1"/>
  <c r="R94" i="2"/>
  <c r="P94" i="2"/>
  <c r="L94" i="2"/>
  <c r="H94" i="2"/>
  <c r="D94" i="2"/>
  <c r="F94" i="2" s="1"/>
  <c r="Z93" i="2"/>
  <c r="Z97" i="2" s="1"/>
  <c r="R93" i="2"/>
  <c r="R97" i="2" s="1"/>
  <c r="P93" i="2"/>
  <c r="L93" i="2"/>
  <c r="H93" i="2"/>
  <c r="D93" i="2"/>
  <c r="F93" i="2" s="1"/>
  <c r="BD87" i="2"/>
  <c r="BB87" i="2"/>
  <c r="AV87" i="2"/>
  <c r="AT87" i="2"/>
  <c r="AN87" i="2"/>
  <c r="AL87" i="2"/>
  <c r="AH87" i="2"/>
  <c r="AF87" i="2"/>
  <c r="AD87" i="2"/>
  <c r="Z86" i="2"/>
  <c r="X86" i="2"/>
  <c r="V86" i="2"/>
  <c r="R86" i="2"/>
  <c r="P86" i="2"/>
  <c r="L86" i="2"/>
  <c r="H86" i="2"/>
  <c r="D86" i="2"/>
  <c r="B86" i="2"/>
  <c r="X85" i="2"/>
  <c r="V85" i="2"/>
  <c r="R85" i="2"/>
  <c r="P85" i="2"/>
  <c r="L85" i="2"/>
  <c r="H85" i="2"/>
  <c r="D85" i="2"/>
  <c r="B85" i="2"/>
  <c r="Z84" i="2"/>
  <c r="X84" i="2"/>
  <c r="V84" i="2"/>
  <c r="R84" i="2"/>
  <c r="L84" i="2"/>
  <c r="H84" i="2"/>
  <c r="D84" i="2"/>
  <c r="B84" i="2"/>
  <c r="X83" i="2"/>
  <c r="V83" i="2"/>
  <c r="R83" i="2"/>
  <c r="P83" i="2"/>
  <c r="P87" i="2" s="1"/>
  <c r="L83" i="2"/>
  <c r="L87" i="2" s="1"/>
  <c r="H83" i="2"/>
  <c r="H87" i="2" s="1"/>
  <c r="D83" i="2"/>
  <c r="D87" i="2" s="1"/>
  <c r="B83" i="2"/>
  <c r="B87" i="2" s="1"/>
  <c r="BB79" i="2"/>
  <c r="AT79" i="2"/>
  <c r="AL79" i="2"/>
  <c r="AD79" i="2"/>
  <c r="V79" i="2"/>
  <c r="AB79" i="2" s="1"/>
  <c r="BF77" i="2"/>
  <c r="BD77" i="2"/>
  <c r="AX77" i="2"/>
  <c r="AV77" i="2"/>
  <c r="AP77" i="2"/>
  <c r="AN77" i="2"/>
  <c r="AL77" i="2"/>
  <c r="AH77" i="2"/>
  <c r="AF77" i="2"/>
  <c r="AD77" i="2"/>
  <c r="T76" i="2"/>
  <c r="AB76" i="2" s="1"/>
  <c r="AJ76" i="2" s="1"/>
  <c r="AR76" i="2" s="1"/>
  <c r="AZ76" i="2" s="1"/>
  <c r="BH76" i="2" s="1"/>
  <c r="BB75" i="2"/>
  <c r="BB77" i="2" s="1"/>
  <c r="AT75" i="2"/>
  <c r="AT77" i="2" s="1"/>
  <c r="Z75" i="2"/>
  <c r="Z77" i="2" s="1"/>
  <c r="X75" i="2"/>
  <c r="X77" i="2" s="1"/>
  <c r="V75" i="2"/>
  <c r="V77" i="2" s="1"/>
  <c r="R75" i="2"/>
  <c r="R77" i="2" s="1"/>
  <c r="P75" i="2"/>
  <c r="P77" i="2" s="1"/>
  <c r="L75" i="2"/>
  <c r="L77" i="2" s="1"/>
  <c r="H75" i="2"/>
  <c r="H77" i="2" s="1"/>
  <c r="D75" i="2"/>
  <c r="D77" i="2" s="1"/>
  <c r="B75" i="2"/>
  <c r="B77" i="2" s="1"/>
  <c r="BB68" i="2"/>
  <c r="AT68" i="2"/>
  <c r="AL68" i="2"/>
  <c r="AD68" i="2"/>
  <c r="W68" i="2"/>
  <c r="K68" i="2"/>
  <c r="BD67" i="2"/>
  <c r="AV67" i="2"/>
  <c r="AN67" i="2"/>
  <c r="AF67" i="2"/>
  <c r="Z67" i="2"/>
  <c r="X67" i="2"/>
  <c r="V67" i="2"/>
  <c r="R67" i="2"/>
  <c r="P67" i="2"/>
  <c r="L67" i="2"/>
  <c r="H67" i="2"/>
  <c r="D67" i="2"/>
  <c r="B67" i="2"/>
  <c r="BD66" i="2"/>
  <c r="AV66" i="2"/>
  <c r="AN66" i="2"/>
  <c r="AF66" i="2"/>
  <c r="Z66" i="2"/>
  <c r="X66" i="2"/>
  <c r="V66" i="2"/>
  <c r="R66" i="2"/>
  <c r="P66" i="2"/>
  <c r="L66" i="2"/>
  <c r="H66" i="2"/>
  <c r="D66" i="2"/>
  <c r="B66" i="2"/>
  <c r="BD65" i="2"/>
  <c r="AV65" i="2"/>
  <c r="AN65" i="2"/>
  <c r="AF65" i="2"/>
  <c r="Z65" i="2"/>
  <c r="X65" i="2"/>
  <c r="V65" i="2"/>
  <c r="R65" i="2"/>
  <c r="P65" i="2"/>
  <c r="L65" i="2"/>
  <c r="H65" i="2"/>
  <c r="D65" i="2"/>
  <c r="B65" i="2"/>
  <c r="BD64" i="2"/>
  <c r="AV64" i="2"/>
  <c r="AN64" i="2"/>
  <c r="AF64" i="2"/>
  <c r="Z64" i="2"/>
  <c r="AH64" i="2" s="1"/>
  <c r="AP64" i="2" s="1"/>
  <c r="AX64" i="2" s="1"/>
  <c r="BF64" i="2" s="1"/>
  <c r="X64" i="2"/>
  <c r="V64" i="2"/>
  <c r="R64" i="2"/>
  <c r="P64" i="2"/>
  <c r="L64" i="2"/>
  <c r="H64" i="2"/>
  <c r="D64" i="2"/>
  <c r="B64" i="2"/>
  <c r="BD63" i="2"/>
  <c r="AV63" i="2"/>
  <c r="AN63" i="2"/>
  <c r="AF63" i="2"/>
  <c r="Z63" i="2"/>
  <c r="X63" i="2"/>
  <c r="V63" i="2"/>
  <c r="R63" i="2"/>
  <c r="P63" i="2"/>
  <c r="L63" i="2"/>
  <c r="H63" i="2"/>
  <c r="D63" i="2"/>
  <c r="B63" i="2"/>
  <c r="BD62" i="2"/>
  <c r="AV62" i="2"/>
  <c r="AN62" i="2"/>
  <c r="AF62" i="2"/>
  <c r="Z62" i="2"/>
  <c r="X62" i="2"/>
  <c r="V62" i="2"/>
  <c r="R62" i="2"/>
  <c r="P62" i="2"/>
  <c r="L62" i="2"/>
  <c r="H62" i="2"/>
  <c r="D62" i="2"/>
  <c r="B62" i="2"/>
  <c r="BD61" i="2"/>
  <c r="AV61" i="2"/>
  <c r="AN61" i="2"/>
  <c r="AF61" i="2"/>
  <c r="Z61" i="2"/>
  <c r="X61" i="2"/>
  <c r="V61" i="2"/>
  <c r="R61" i="2"/>
  <c r="P61" i="2"/>
  <c r="L61" i="2"/>
  <c r="H61" i="2"/>
  <c r="D61" i="2"/>
  <c r="B61" i="2"/>
  <c r="BD60" i="2"/>
  <c r="AV60" i="2"/>
  <c r="AN60" i="2"/>
  <c r="AF60" i="2"/>
  <c r="Z60" i="2"/>
  <c r="X60" i="2"/>
  <c r="V60" i="2"/>
  <c r="R60" i="2"/>
  <c r="P60" i="2"/>
  <c r="L60" i="2"/>
  <c r="H60" i="2"/>
  <c r="D60" i="2"/>
  <c r="B60" i="2"/>
  <c r="BD59" i="2"/>
  <c r="AV59" i="2"/>
  <c r="AN59" i="2"/>
  <c r="AF59" i="2"/>
  <c r="Z59" i="2"/>
  <c r="X59" i="2"/>
  <c r="V59" i="2"/>
  <c r="R59" i="2"/>
  <c r="P59" i="2"/>
  <c r="L59" i="2"/>
  <c r="H59" i="2"/>
  <c r="D59" i="2"/>
  <c r="B59" i="2"/>
  <c r="Z58" i="2"/>
  <c r="X58" i="2"/>
  <c r="V58" i="2"/>
  <c r="R58" i="2"/>
  <c r="P58" i="2"/>
  <c r="L58" i="2"/>
  <c r="H58" i="2"/>
  <c r="D58" i="2"/>
  <c r="B58" i="2"/>
  <c r="AV57" i="2"/>
  <c r="AN57" i="2"/>
  <c r="AF57" i="2"/>
  <c r="Z57" i="2"/>
  <c r="X57" i="2"/>
  <c r="V57" i="2"/>
  <c r="R57" i="2"/>
  <c r="P57" i="2"/>
  <c r="L57" i="2"/>
  <c r="H57" i="2"/>
  <c r="D57" i="2"/>
  <c r="B57" i="2"/>
  <c r="X56" i="2"/>
  <c r="V56" i="2"/>
  <c r="BD54" i="2"/>
  <c r="AV54" i="2"/>
  <c r="AN54" i="2"/>
  <c r="AF54" i="2"/>
  <c r="Z54" i="2"/>
  <c r="X54" i="2"/>
  <c r="V54" i="2"/>
  <c r="R54" i="2"/>
  <c r="P54" i="2"/>
  <c r="L54" i="2"/>
  <c r="H54" i="2"/>
  <c r="D54" i="2"/>
  <c r="B54" i="2"/>
  <c r="V51" i="2"/>
  <c r="BB49" i="2"/>
  <c r="AT49" i="2"/>
  <c r="AL49" i="2"/>
  <c r="Z49" i="2"/>
  <c r="X49" i="2"/>
  <c r="V49" i="2"/>
  <c r="R49" i="2"/>
  <c r="P49" i="2"/>
  <c r="L49" i="2"/>
  <c r="H49" i="2"/>
  <c r="D49" i="2"/>
  <c r="B49" i="2"/>
  <c r="Z48" i="2"/>
  <c r="V48" i="2"/>
  <c r="R48" i="2"/>
  <c r="P48" i="2"/>
  <c r="L48" i="2"/>
  <c r="H48" i="2"/>
  <c r="D48" i="2"/>
  <c r="V47" i="2"/>
  <c r="BB46" i="2"/>
  <c r="AT46" i="2"/>
  <c r="AL46" i="2"/>
  <c r="AN45" i="2"/>
  <c r="AF45" i="2"/>
  <c r="N45" i="2"/>
  <c r="T45" i="2" s="1"/>
  <c r="AB45" i="2" s="1"/>
  <c r="AJ45" i="2" s="1"/>
  <c r="AR45" i="2" s="1"/>
  <c r="AZ45" i="2" s="1"/>
  <c r="BH45" i="2" s="1"/>
  <c r="AV44" i="2"/>
  <c r="AF44" i="2"/>
  <c r="AD44" i="2"/>
  <c r="Z44" i="2"/>
  <c r="AH44" i="2" s="1"/>
  <c r="AP44" i="2" s="1"/>
  <c r="AX44" i="2" s="1"/>
  <c r="BF44" i="2" s="1"/>
  <c r="X44" i="2"/>
  <c r="V44" i="2"/>
  <c r="R44" i="2"/>
  <c r="P44" i="2"/>
  <c r="L44" i="2"/>
  <c r="H44" i="2"/>
  <c r="D44" i="2"/>
  <c r="B44" i="2"/>
  <c r="Z43" i="2"/>
  <c r="AH43" i="2" s="1"/>
  <c r="AP43" i="2" s="1"/>
  <c r="AX43" i="2" s="1"/>
  <c r="BF43" i="2" s="1"/>
  <c r="X43" i="2"/>
  <c r="V43" i="2"/>
  <c r="R43" i="2"/>
  <c r="P43" i="2"/>
  <c r="L43" i="2"/>
  <c r="H43" i="2"/>
  <c r="D43" i="2"/>
  <c r="B43" i="2"/>
  <c r="Z42" i="2"/>
  <c r="V42" i="2"/>
  <c r="R42" i="2"/>
  <c r="P42" i="2"/>
  <c r="L42" i="2"/>
  <c r="H42" i="2"/>
  <c r="D42" i="2"/>
  <c r="B42" i="2"/>
  <c r="Z41" i="2"/>
  <c r="V41" i="2"/>
  <c r="R41" i="2"/>
  <c r="P41" i="2"/>
  <c r="L41" i="2"/>
  <c r="H41" i="2"/>
  <c r="D41" i="2"/>
  <c r="B41" i="2"/>
  <c r="Z40" i="2"/>
  <c r="X40" i="2"/>
  <c r="V40" i="2"/>
  <c r="R40" i="2"/>
  <c r="P40" i="2"/>
  <c r="L40" i="2"/>
  <c r="H40" i="2"/>
  <c r="D40" i="2"/>
  <c r="B40" i="2"/>
  <c r="Z39" i="2"/>
  <c r="X39" i="2"/>
  <c r="V39" i="2"/>
  <c r="R39" i="2"/>
  <c r="P39" i="2"/>
  <c r="L39" i="2"/>
  <c r="H39" i="2"/>
  <c r="D39" i="2"/>
  <c r="B39" i="2"/>
  <c r="Z38" i="2"/>
  <c r="X38" i="2"/>
  <c r="V38" i="2"/>
  <c r="R38" i="2"/>
  <c r="P38" i="2"/>
  <c r="L38" i="2"/>
  <c r="H38" i="2"/>
  <c r="D38" i="2"/>
  <c r="B38" i="2"/>
  <c r="Z37" i="2"/>
  <c r="X37" i="2"/>
  <c r="V37" i="2"/>
  <c r="R37" i="2"/>
  <c r="P37" i="2"/>
  <c r="L37" i="2"/>
  <c r="H37" i="2"/>
  <c r="D37" i="2"/>
  <c r="B37" i="2"/>
  <c r="Z36" i="2"/>
  <c r="X36" i="2"/>
  <c r="V36" i="2"/>
  <c r="R36" i="2"/>
  <c r="P36" i="2"/>
  <c r="L36" i="2"/>
  <c r="H36" i="2"/>
  <c r="D36" i="2"/>
  <c r="B36" i="2"/>
  <c r="Z35" i="2"/>
  <c r="X35" i="2"/>
  <c r="V35" i="2"/>
  <c r="R35" i="2"/>
  <c r="P35" i="2"/>
  <c r="L35" i="2"/>
  <c r="H35" i="2"/>
  <c r="D35" i="2"/>
  <c r="B35" i="2"/>
  <c r="Z34" i="2"/>
  <c r="X34" i="2"/>
  <c r="V34" i="2"/>
  <c r="R34" i="2"/>
  <c r="P34" i="2"/>
  <c r="L34" i="2"/>
  <c r="H34" i="2"/>
  <c r="D34" i="2"/>
  <c r="B34" i="2"/>
  <c r="Z33" i="2"/>
  <c r="X33" i="2"/>
  <c r="V33" i="2"/>
  <c r="R33" i="2"/>
  <c r="P33" i="2"/>
  <c r="L33" i="2"/>
  <c r="H33" i="2"/>
  <c r="D33" i="2"/>
  <c r="B33" i="2"/>
  <c r="Z32" i="2"/>
  <c r="X32" i="2"/>
  <c r="V32" i="2"/>
  <c r="R32" i="2"/>
  <c r="P32" i="2"/>
  <c r="L32" i="2"/>
  <c r="H32" i="2"/>
  <c r="D32" i="2"/>
  <c r="B32" i="2"/>
  <c r="Z31" i="2"/>
  <c r="X31" i="2"/>
  <c r="V31" i="2"/>
  <c r="R31" i="2"/>
  <c r="P31" i="2"/>
  <c r="L31" i="2"/>
  <c r="H31" i="2"/>
  <c r="D31" i="2"/>
  <c r="B31" i="2"/>
  <c r="BF30" i="2"/>
  <c r="AX30" i="2"/>
  <c r="AP30" i="2"/>
  <c r="AH30" i="2"/>
  <c r="Z30" i="2"/>
  <c r="X30" i="2"/>
  <c r="V30" i="2"/>
  <c r="R30" i="2"/>
  <c r="P30" i="2"/>
  <c r="L30" i="2"/>
  <c r="H30" i="2"/>
  <c r="D30" i="2"/>
  <c r="B30" i="2"/>
  <c r="Z29" i="2"/>
  <c r="X29" i="2"/>
  <c r="V29" i="2"/>
  <c r="R29" i="2"/>
  <c r="P29" i="2"/>
  <c r="L29" i="2"/>
  <c r="H29" i="2"/>
  <c r="D29" i="2"/>
  <c r="B29" i="2"/>
  <c r="Z28" i="2"/>
  <c r="X28" i="2"/>
  <c r="V28" i="2"/>
  <c r="R28" i="2"/>
  <c r="P28" i="2"/>
  <c r="L28" i="2"/>
  <c r="H28" i="2"/>
  <c r="D28" i="2"/>
  <c r="B28" i="2"/>
  <c r="Z27" i="2"/>
  <c r="X27" i="2"/>
  <c r="V27" i="2"/>
  <c r="R27" i="2"/>
  <c r="P27" i="2"/>
  <c r="L27" i="2"/>
  <c r="H27" i="2"/>
  <c r="D27" i="2"/>
  <c r="B27" i="2"/>
  <c r="AV26" i="2"/>
  <c r="AN26" i="2"/>
  <c r="AF26" i="2"/>
  <c r="Z26" i="2"/>
  <c r="X26" i="2"/>
  <c r="V26" i="2"/>
  <c r="R26" i="2"/>
  <c r="P26" i="2"/>
  <c r="L26" i="2"/>
  <c r="H26" i="2"/>
  <c r="D26" i="2"/>
  <c r="B26" i="2"/>
  <c r="Z25" i="2"/>
  <c r="X25" i="2"/>
  <c r="V25" i="2"/>
  <c r="R25" i="2"/>
  <c r="P25" i="2"/>
  <c r="L25" i="2"/>
  <c r="H25" i="2"/>
  <c r="D25" i="2"/>
  <c r="B25" i="2"/>
  <c r="AD24" i="2"/>
  <c r="AD46" i="2" s="1"/>
  <c r="Z24" i="2"/>
  <c r="X24" i="2"/>
  <c r="V24" i="2"/>
  <c r="R24" i="2"/>
  <c r="P24" i="2"/>
  <c r="L24" i="2"/>
  <c r="H24" i="2"/>
  <c r="D24" i="2"/>
  <c r="B24" i="2"/>
  <c r="BD23" i="2"/>
  <c r="BD46" i="2" s="1"/>
  <c r="AV23" i="2"/>
  <c r="AV46" i="2" s="1"/>
  <c r="AN23" i="2"/>
  <c r="AN46" i="2" s="1"/>
  <c r="AF23" i="2"/>
  <c r="AF46" i="2" s="1"/>
  <c r="Z23" i="2"/>
  <c r="X23" i="2"/>
  <c r="V23" i="2"/>
  <c r="R23" i="2"/>
  <c r="P23" i="2"/>
  <c r="L23" i="2"/>
  <c r="H23" i="2"/>
  <c r="D23" i="2"/>
  <c r="B23" i="2"/>
  <c r="Z22" i="2"/>
  <c r="X22" i="2"/>
  <c r="V22" i="2"/>
  <c r="R22" i="2"/>
  <c r="P22" i="2"/>
  <c r="L22" i="2"/>
  <c r="H22" i="2"/>
  <c r="D22" i="2"/>
  <c r="B22" i="2"/>
  <c r="Z21" i="2"/>
  <c r="X21" i="2"/>
  <c r="V21" i="2"/>
  <c r="R21" i="2"/>
  <c r="P21" i="2"/>
  <c r="L21" i="2"/>
  <c r="H21" i="2"/>
  <c r="D21" i="2"/>
  <c r="B21" i="2"/>
  <c r="Z20" i="2"/>
  <c r="X20" i="2"/>
  <c r="V20" i="2"/>
  <c r="R20" i="2"/>
  <c r="P20" i="2"/>
  <c r="L20" i="2"/>
  <c r="H20" i="2"/>
  <c r="D20" i="2"/>
  <c r="B20" i="2"/>
  <c r="Z19" i="2"/>
  <c r="X19" i="2"/>
  <c r="V19" i="2"/>
  <c r="R19" i="2"/>
  <c r="P19" i="2"/>
  <c r="L19" i="2"/>
  <c r="H19" i="2"/>
  <c r="D19" i="2"/>
  <c r="B19" i="2"/>
  <c r="BB18" i="2"/>
  <c r="BB48" i="2" s="1"/>
  <c r="AT18" i="2"/>
  <c r="AT48" i="2" s="1"/>
  <c r="AL18" i="2"/>
  <c r="AL48" i="2" s="1"/>
  <c r="Z17" i="2"/>
  <c r="X17" i="2"/>
  <c r="V17" i="2"/>
  <c r="R17" i="2"/>
  <c r="P17" i="2"/>
  <c r="L17" i="2"/>
  <c r="H17" i="2"/>
  <c r="D17" i="2"/>
  <c r="B17" i="2"/>
  <c r="Z16" i="2"/>
  <c r="X16" i="2"/>
  <c r="V16" i="2"/>
  <c r="R16" i="2"/>
  <c r="P16" i="2"/>
  <c r="L16" i="2"/>
  <c r="H16" i="2"/>
  <c r="D16" i="2"/>
  <c r="B16" i="2"/>
  <c r="BD15" i="2"/>
  <c r="AV15" i="2"/>
  <c r="AN15" i="2"/>
  <c r="AF15" i="2"/>
  <c r="AD15" i="2"/>
  <c r="Z15" i="2"/>
  <c r="X15" i="2"/>
  <c r="V15" i="2"/>
  <c r="R15" i="2"/>
  <c r="P15" i="2"/>
  <c r="L15" i="2"/>
  <c r="H15" i="2"/>
  <c r="D15" i="2"/>
  <c r="B15" i="2"/>
  <c r="AX14" i="2"/>
  <c r="BF14" i="2" s="1"/>
  <c r="AF14" i="2"/>
  <c r="Z14" i="2"/>
  <c r="AH14" i="2" s="1"/>
  <c r="X14" i="2"/>
  <c r="V14" i="2"/>
  <c r="R14" i="2"/>
  <c r="P14" i="2"/>
  <c r="L14" i="2"/>
  <c r="H14" i="2"/>
  <c r="D14" i="2"/>
  <c r="B14" i="2"/>
  <c r="BD13" i="2"/>
  <c r="AV13" i="2"/>
  <c r="AN13" i="2"/>
  <c r="AF13" i="2"/>
  <c r="AD13" i="2"/>
  <c r="AD49" i="2" s="1"/>
  <c r="Z13" i="2"/>
  <c r="X13" i="2"/>
  <c r="V13" i="2"/>
  <c r="R13" i="2"/>
  <c r="P13" i="2"/>
  <c r="L13" i="2"/>
  <c r="H13" i="2"/>
  <c r="D13" i="2"/>
  <c r="B13" i="2"/>
  <c r="B18" i="2" l="1"/>
  <c r="H18" i="2"/>
  <c r="P18" i="2"/>
  <c r="V18" i="2"/>
  <c r="AF18" i="2"/>
  <c r="AF48" i="2" s="1"/>
  <c r="AV18" i="2"/>
  <c r="AV48" i="2" s="1"/>
  <c r="F14" i="2"/>
  <c r="J14" i="2" s="1"/>
  <c r="N14" i="2" s="1"/>
  <c r="T14" i="2" s="1"/>
  <c r="AB14" i="2" s="1"/>
  <c r="AJ14" i="2" s="1"/>
  <c r="AR14" i="2" s="1"/>
  <c r="AZ14" i="2" s="1"/>
  <c r="BH14" i="2" s="1"/>
  <c r="F54" i="2"/>
  <c r="J54" i="2" s="1"/>
  <c r="H68" i="2"/>
  <c r="H72" i="2" s="1"/>
  <c r="P68" i="2"/>
  <c r="P72" i="2" s="1"/>
  <c r="P81" i="2" s="1"/>
  <c r="V68" i="2"/>
  <c r="V72" i="2" s="1"/>
  <c r="V100" i="2" s="1"/>
  <c r="Z68" i="2"/>
  <c r="AN68" i="2"/>
  <c r="BD68" i="2"/>
  <c r="F59" i="2"/>
  <c r="J59" i="2" s="1"/>
  <c r="N59" i="2" s="1"/>
  <c r="T59" i="2" s="1"/>
  <c r="AB59" i="2" s="1"/>
  <c r="AH59" i="2" s="1"/>
  <c r="AJ59" i="2" s="1"/>
  <c r="F61" i="2"/>
  <c r="J61" i="2" s="1"/>
  <c r="N61" i="2" s="1"/>
  <c r="T61" i="2" s="1"/>
  <c r="AB61" i="2" s="1"/>
  <c r="F63" i="2"/>
  <c r="J63" i="2" s="1"/>
  <c r="N63" i="2" s="1"/>
  <c r="T63" i="2" s="1"/>
  <c r="AB63" i="2" s="1"/>
  <c r="AH63" i="2" s="1"/>
  <c r="AJ63" i="2" s="1"/>
  <c r="F65" i="2"/>
  <c r="J65" i="2" s="1"/>
  <c r="N65" i="2" s="1"/>
  <c r="T65" i="2" s="1"/>
  <c r="AB65" i="2" s="1"/>
  <c r="AH65" i="2" s="1"/>
  <c r="AJ65" i="2" s="1"/>
  <c r="F67" i="2"/>
  <c r="J67" i="2" s="1"/>
  <c r="N67" i="2" s="1"/>
  <c r="T67" i="2" s="1"/>
  <c r="AB67" i="2" s="1"/>
  <c r="AJ67" i="2" s="1"/>
  <c r="AR67" i="2" s="1"/>
  <c r="AZ67" i="2" s="1"/>
  <c r="BH67" i="2" s="1"/>
  <c r="V87" i="2"/>
  <c r="F84" i="2"/>
  <c r="J84" i="2" s="1"/>
  <c r="N84" i="2" s="1"/>
  <c r="T84" i="2" s="1"/>
  <c r="AB84" i="2" s="1"/>
  <c r="AJ84" i="2" s="1"/>
  <c r="AR84" i="2" s="1"/>
  <c r="AZ84" i="2" s="1"/>
  <c r="BH84" i="2" s="1"/>
  <c r="F85" i="2"/>
  <c r="J85" i="2" s="1"/>
  <c r="N85" i="2" s="1"/>
  <c r="T85" i="2" s="1"/>
  <c r="AB85" i="2" s="1"/>
  <c r="AJ85" i="2" s="1"/>
  <c r="F86" i="2"/>
  <c r="J86" i="2" s="1"/>
  <c r="N86" i="2" s="1"/>
  <c r="T86" i="2" s="1"/>
  <c r="AB86" i="2" s="1"/>
  <c r="AJ86" i="2" s="1"/>
  <c r="AR86" i="2" s="1"/>
  <c r="AZ86" i="2" s="1"/>
  <c r="BH86" i="2" s="1"/>
  <c r="J93" i="2"/>
  <c r="N93" i="2" s="1"/>
  <c r="T93" i="2" s="1"/>
  <c r="AD109" i="2"/>
  <c r="AB105" i="2"/>
  <c r="AJ105" i="2" s="1"/>
  <c r="AR105" i="2" s="1"/>
  <c r="AZ105" i="2" s="1"/>
  <c r="BH105" i="2" s="1"/>
  <c r="AN18" i="2"/>
  <c r="AN48" i="2" s="1"/>
  <c r="AN72" i="2" s="1"/>
  <c r="BD18" i="2"/>
  <c r="BD48" i="2" s="1"/>
  <c r="F15" i="2"/>
  <c r="J15" i="2" s="1"/>
  <c r="N15" i="2" s="1"/>
  <c r="T15" i="2" s="1"/>
  <c r="AB15" i="2" s="1"/>
  <c r="F16" i="2"/>
  <c r="J16" i="2" s="1"/>
  <c r="N16" i="2" s="1"/>
  <c r="T16" i="2" s="1"/>
  <c r="AB16" i="2" s="1"/>
  <c r="AH16" i="2" s="1"/>
  <c r="AJ16" i="2" s="1"/>
  <c r="D46" i="2"/>
  <c r="L46" i="2"/>
  <c r="R46" i="2"/>
  <c r="X46" i="2"/>
  <c r="F20" i="2"/>
  <c r="J20" i="2" s="1"/>
  <c r="N20" i="2" s="1"/>
  <c r="T20" i="2" s="1"/>
  <c r="AB20" i="2" s="1"/>
  <c r="AH20" i="2" s="1"/>
  <c r="AJ20" i="2" s="1"/>
  <c r="F22" i="2"/>
  <c r="J22" i="2" s="1"/>
  <c r="N22" i="2" s="1"/>
  <c r="T22" i="2" s="1"/>
  <c r="AB22" i="2" s="1"/>
  <c r="F24" i="2"/>
  <c r="J24" i="2" s="1"/>
  <c r="N24" i="2" s="1"/>
  <c r="T24" i="2" s="1"/>
  <c r="AB24" i="2" s="1"/>
  <c r="AH24" i="2" s="1"/>
  <c r="AJ24" i="2" s="1"/>
  <c r="F25" i="2"/>
  <c r="J25" i="2" s="1"/>
  <c r="N25" i="2" s="1"/>
  <c r="T25" i="2" s="1"/>
  <c r="AB25" i="2" s="1"/>
  <c r="AH25" i="2" s="1"/>
  <c r="AJ25" i="2" s="1"/>
  <c r="F28" i="2"/>
  <c r="J28" i="2" s="1"/>
  <c r="N28" i="2" s="1"/>
  <c r="T28" i="2" s="1"/>
  <c r="AB28" i="2" s="1"/>
  <c r="AH28" i="2" s="1"/>
  <c r="AJ28" i="2" s="1"/>
  <c r="F30" i="2"/>
  <c r="J30" i="2" s="1"/>
  <c r="N30" i="2" s="1"/>
  <c r="T30" i="2" s="1"/>
  <c r="AB30" i="2" s="1"/>
  <c r="AJ30" i="2" s="1"/>
  <c r="AR30" i="2" s="1"/>
  <c r="AZ30" i="2" s="1"/>
  <c r="BH30" i="2" s="1"/>
  <c r="F32" i="2"/>
  <c r="J32" i="2" s="1"/>
  <c r="N32" i="2" s="1"/>
  <c r="T32" i="2" s="1"/>
  <c r="AB32" i="2" s="1"/>
  <c r="AH32" i="2" s="1"/>
  <c r="AJ32" i="2" s="1"/>
  <c r="F34" i="2"/>
  <c r="J34" i="2" s="1"/>
  <c r="N34" i="2" s="1"/>
  <c r="T34" i="2" s="1"/>
  <c r="AB34" i="2" s="1"/>
  <c r="F36" i="2"/>
  <c r="J36" i="2" s="1"/>
  <c r="N36" i="2" s="1"/>
  <c r="T36" i="2" s="1"/>
  <c r="AB36" i="2" s="1"/>
  <c r="F38" i="2"/>
  <c r="J38" i="2" s="1"/>
  <c r="N38" i="2" s="1"/>
  <c r="T38" i="2" s="1"/>
  <c r="AB38" i="2" s="1"/>
  <c r="AH38" i="2" s="1"/>
  <c r="AJ38" i="2" s="1"/>
  <c r="F40" i="2"/>
  <c r="J40" i="2" s="1"/>
  <c r="N40" i="2" s="1"/>
  <c r="T40" i="2" s="1"/>
  <c r="AB40" i="2" s="1"/>
  <c r="AH40" i="2" s="1"/>
  <c r="AJ40" i="2" s="1"/>
  <c r="F44" i="2"/>
  <c r="J44" i="2" s="1"/>
  <c r="N44" i="2" s="1"/>
  <c r="T44" i="2" s="1"/>
  <c r="AB44" i="2" s="1"/>
  <c r="AJ44" i="2" s="1"/>
  <c r="AR44" i="2" s="1"/>
  <c r="AZ44" i="2" s="1"/>
  <c r="BH44" i="2" s="1"/>
  <c r="AB104" i="2"/>
  <c r="AJ104" i="2" s="1"/>
  <c r="AR104" i="2" s="1"/>
  <c r="AZ104" i="2" s="1"/>
  <c r="BH104" i="2" s="1"/>
  <c r="Z72" i="2"/>
  <c r="D18" i="2"/>
  <c r="L18" i="2"/>
  <c r="R18" i="2"/>
  <c r="X18" i="2"/>
  <c r="X48" i="2" s="1"/>
  <c r="F17" i="2"/>
  <c r="J17" i="2" s="1"/>
  <c r="N17" i="2" s="1"/>
  <c r="T17" i="2" s="1"/>
  <c r="AB17" i="2" s="1"/>
  <c r="AH17" i="2" s="1"/>
  <c r="AJ17" i="2" s="1"/>
  <c r="B46" i="2"/>
  <c r="H46" i="2"/>
  <c r="P46" i="2"/>
  <c r="V46" i="2"/>
  <c r="Z46" i="2"/>
  <c r="F21" i="2"/>
  <c r="J21" i="2" s="1"/>
  <c r="N21" i="2" s="1"/>
  <c r="T21" i="2" s="1"/>
  <c r="AB21" i="2" s="1"/>
  <c r="F23" i="2"/>
  <c r="J23" i="2" s="1"/>
  <c r="N23" i="2" s="1"/>
  <c r="T23" i="2" s="1"/>
  <c r="AB23" i="2" s="1"/>
  <c r="AH23" i="2" s="1"/>
  <c r="AJ23" i="2" s="1"/>
  <c r="F26" i="2"/>
  <c r="J26" i="2" s="1"/>
  <c r="N26" i="2" s="1"/>
  <c r="T26" i="2" s="1"/>
  <c r="AB26" i="2" s="1"/>
  <c r="AH26" i="2" s="1"/>
  <c r="AJ26" i="2" s="1"/>
  <c r="F27" i="2"/>
  <c r="J27" i="2" s="1"/>
  <c r="N27" i="2" s="1"/>
  <c r="T27" i="2" s="1"/>
  <c r="AB27" i="2" s="1"/>
  <c r="AH27" i="2" s="1"/>
  <c r="AJ27" i="2" s="1"/>
  <c r="F29" i="2"/>
  <c r="J29" i="2" s="1"/>
  <c r="N29" i="2" s="1"/>
  <c r="T29" i="2" s="1"/>
  <c r="AB29" i="2" s="1"/>
  <c r="AH29" i="2" s="1"/>
  <c r="AJ29" i="2" s="1"/>
  <c r="F31" i="2"/>
  <c r="J31" i="2" s="1"/>
  <c r="N31" i="2" s="1"/>
  <c r="T31" i="2" s="1"/>
  <c r="AB31" i="2" s="1"/>
  <c r="AH31" i="2" s="1"/>
  <c r="AJ31" i="2" s="1"/>
  <c r="F33" i="2"/>
  <c r="J33" i="2" s="1"/>
  <c r="N33" i="2" s="1"/>
  <c r="T33" i="2" s="1"/>
  <c r="AB33" i="2" s="1"/>
  <c r="AH33" i="2" s="1"/>
  <c r="AJ33" i="2" s="1"/>
  <c r="F35" i="2"/>
  <c r="J35" i="2" s="1"/>
  <c r="N35" i="2" s="1"/>
  <c r="T35" i="2" s="1"/>
  <c r="AB35" i="2" s="1"/>
  <c r="F37" i="2"/>
  <c r="J37" i="2" s="1"/>
  <c r="N37" i="2" s="1"/>
  <c r="T37" i="2" s="1"/>
  <c r="AB37" i="2" s="1"/>
  <c r="F39" i="2"/>
  <c r="J39" i="2" s="1"/>
  <c r="N39" i="2" s="1"/>
  <c r="T39" i="2" s="1"/>
  <c r="AB39" i="2" s="1"/>
  <c r="AH39" i="2" s="1"/>
  <c r="AJ39" i="2" s="1"/>
  <c r="F41" i="2"/>
  <c r="J41" i="2" s="1"/>
  <c r="N41" i="2" s="1"/>
  <c r="T41" i="2" s="1"/>
  <c r="AB41" i="2" s="1"/>
  <c r="AH41" i="2" s="1"/>
  <c r="AJ41" i="2" s="1"/>
  <c r="F42" i="2"/>
  <c r="J42" i="2" s="1"/>
  <c r="N42" i="2" s="1"/>
  <c r="T42" i="2" s="1"/>
  <c r="AB42" i="2" s="1"/>
  <c r="AH42" i="2" s="1"/>
  <c r="AJ42" i="2" s="1"/>
  <c r="F43" i="2"/>
  <c r="J43" i="2" s="1"/>
  <c r="N43" i="2" s="1"/>
  <c r="T43" i="2" s="1"/>
  <c r="AB43" i="2" s="1"/>
  <c r="AJ43" i="2" s="1"/>
  <c r="AR43" i="2" s="1"/>
  <c r="AZ43" i="2" s="1"/>
  <c r="BH43" i="2" s="1"/>
  <c r="F49" i="2"/>
  <c r="J49" i="2" s="1"/>
  <c r="N49" i="2" s="1"/>
  <c r="T49" i="2" s="1"/>
  <c r="AB49" i="2" s="1"/>
  <c r="D68" i="2"/>
  <c r="D72" i="2" s="1"/>
  <c r="L68" i="2"/>
  <c r="L72" i="2" s="1"/>
  <c r="R68" i="2"/>
  <c r="R72" i="2" s="1"/>
  <c r="X68" i="2"/>
  <c r="X72" i="2" s="1"/>
  <c r="AF68" i="2"/>
  <c r="AF72" i="2" s="1"/>
  <c r="AV68" i="2"/>
  <c r="AV72" i="2" s="1"/>
  <c r="F57" i="2"/>
  <c r="J57" i="2" s="1"/>
  <c r="N57" i="2" s="1"/>
  <c r="T57" i="2" s="1"/>
  <c r="AB57" i="2" s="1"/>
  <c r="AJ57" i="2" s="1"/>
  <c r="AR57" i="2" s="1"/>
  <c r="AZ57" i="2" s="1"/>
  <c r="BH57" i="2" s="1"/>
  <c r="F58" i="2"/>
  <c r="J58" i="2" s="1"/>
  <c r="N58" i="2" s="1"/>
  <c r="T58" i="2" s="1"/>
  <c r="AB58" i="2" s="1"/>
  <c r="AJ58" i="2" s="1"/>
  <c r="AR58" i="2" s="1"/>
  <c r="AZ58" i="2" s="1"/>
  <c r="BH58" i="2" s="1"/>
  <c r="F60" i="2"/>
  <c r="J60" i="2" s="1"/>
  <c r="N60" i="2" s="1"/>
  <c r="T60" i="2" s="1"/>
  <c r="AB60" i="2" s="1"/>
  <c r="AH60" i="2" s="1"/>
  <c r="AJ60" i="2" s="1"/>
  <c r="F62" i="2"/>
  <c r="J62" i="2" s="1"/>
  <c r="N62" i="2" s="1"/>
  <c r="T62" i="2" s="1"/>
  <c r="AB62" i="2" s="1"/>
  <c r="AH62" i="2" s="1"/>
  <c r="AJ62" i="2" s="1"/>
  <c r="F64" i="2"/>
  <c r="J64" i="2" s="1"/>
  <c r="N64" i="2" s="1"/>
  <c r="T64" i="2" s="1"/>
  <c r="AB64" i="2" s="1"/>
  <c r="AJ64" i="2" s="1"/>
  <c r="AR64" i="2" s="1"/>
  <c r="AZ64" i="2" s="1"/>
  <c r="BH64" i="2" s="1"/>
  <c r="F66" i="2"/>
  <c r="J66" i="2" s="1"/>
  <c r="N66" i="2" s="1"/>
  <c r="T66" i="2" s="1"/>
  <c r="AB66" i="2" s="1"/>
  <c r="AJ66" i="2" s="1"/>
  <c r="AR66" i="2" s="1"/>
  <c r="AZ66" i="2" s="1"/>
  <c r="BH66" i="2" s="1"/>
  <c r="AJ79" i="2"/>
  <c r="AR79" i="2" s="1"/>
  <c r="AZ79" i="2" s="1"/>
  <c r="BH79" i="2" s="1"/>
  <c r="R87" i="2"/>
  <c r="X87" i="2"/>
  <c r="Z87" i="2"/>
  <c r="J94" i="2"/>
  <c r="N94" i="2" s="1"/>
  <c r="T94" i="2" s="1"/>
  <c r="AB94" i="2" s="1"/>
  <c r="AJ94" i="2" s="1"/>
  <c r="AR94" i="2" s="1"/>
  <c r="AZ94" i="2" s="1"/>
  <c r="BH94" i="2" s="1"/>
  <c r="J95" i="2"/>
  <c r="N95" i="2" s="1"/>
  <c r="T95" i="2" s="1"/>
  <c r="AB95" i="2" s="1"/>
  <c r="AJ95" i="2" s="1"/>
  <c r="AR95" i="2" s="1"/>
  <c r="AZ95" i="2" s="1"/>
  <c r="BH95" i="2" s="1"/>
  <c r="J96" i="2"/>
  <c r="N96" i="2" s="1"/>
  <c r="T96" i="2" s="1"/>
  <c r="AB96" i="2" s="1"/>
  <c r="AJ96" i="2" s="1"/>
  <c r="AR96" i="2" s="1"/>
  <c r="AZ96" i="2" s="1"/>
  <c r="BH96" i="2" s="1"/>
  <c r="AL109" i="2"/>
  <c r="J113" i="2"/>
  <c r="N113" i="2" s="1"/>
  <c r="T113" i="2" s="1"/>
  <c r="AB113" i="2" s="1"/>
  <c r="AJ113" i="2" s="1"/>
  <c r="AR113" i="2" s="1"/>
  <c r="AZ113" i="2" s="1"/>
  <c r="BH113" i="2" s="1"/>
  <c r="AH22" i="2"/>
  <c r="AJ22" i="2" s="1"/>
  <c r="AH34" i="2"/>
  <c r="AJ34" i="2" s="1"/>
  <c r="AH21" i="2"/>
  <c r="AJ21" i="2" s="1"/>
  <c r="AH37" i="2"/>
  <c r="AJ37" i="2" s="1"/>
  <c r="P90" i="2"/>
  <c r="V81" i="2"/>
  <c r="AH61" i="2"/>
  <c r="AJ61" i="2" s="1"/>
  <c r="AL72" i="2"/>
  <c r="F13" i="2"/>
  <c r="Z18" i="2"/>
  <c r="AD18" i="2"/>
  <c r="AD48" i="2" s="1"/>
  <c r="AD72" i="2" s="1"/>
  <c r="F19" i="2"/>
  <c r="L90" i="2"/>
  <c r="AT72" i="2"/>
  <c r="BD72" i="2"/>
  <c r="B68" i="2"/>
  <c r="AP85" i="2"/>
  <c r="AP87" i="2" s="1"/>
  <c r="BB72" i="2"/>
  <c r="AB93" i="2"/>
  <c r="F83" i="2"/>
  <c r="D97" i="2"/>
  <c r="F97" i="2" s="1"/>
  <c r="J97" i="2" s="1"/>
  <c r="L97" i="2"/>
  <c r="P97" i="2"/>
  <c r="P100" i="2" s="1"/>
  <c r="AB102" i="2"/>
  <c r="F75" i="2"/>
  <c r="F103" i="2"/>
  <c r="J103" i="2" s="1"/>
  <c r="F68" i="2" l="1"/>
  <c r="T97" i="2"/>
  <c r="V90" i="2"/>
  <c r="AH36" i="2"/>
  <c r="AJ36" i="2" s="1"/>
  <c r="AP36" i="2" s="1"/>
  <c r="AR36" i="2" s="1"/>
  <c r="AH15" i="2"/>
  <c r="AJ15" i="2" s="1"/>
  <c r="AP15" i="2" s="1"/>
  <c r="AR15" i="2" s="1"/>
  <c r="R100" i="2"/>
  <c r="B48" i="2"/>
  <c r="F48" i="2" s="1"/>
  <c r="J48" i="2" s="1"/>
  <c r="N48" i="2" s="1"/>
  <c r="T48" i="2" s="1"/>
  <c r="AB48" i="2" s="1"/>
  <c r="L100" i="2"/>
  <c r="Z100" i="2"/>
  <c r="R90" i="2"/>
  <c r="Z90" i="2"/>
  <c r="AH35" i="2"/>
  <c r="AJ35" i="2" s="1"/>
  <c r="AP35" i="2" s="1"/>
  <c r="AR35" i="2" s="1"/>
  <c r="N97" i="2"/>
  <c r="AR85" i="2"/>
  <c r="Z81" i="2"/>
  <c r="AP62" i="2"/>
  <c r="AR62" i="2" s="1"/>
  <c r="AP42" i="2"/>
  <c r="AR42" i="2" s="1"/>
  <c r="AP38" i="2"/>
  <c r="AR38" i="2" s="1"/>
  <c r="AP33" i="2"/>
  <c r="AR33" i="2" s="1"/>
  <c r="AP29" i="2"/>
  <c r="AR29" i="2" s="1"/>
  <c r="AP26" i="2"/>
  <c r="AR26" i="2" s="1"/>
  <c r="AP17" i="2"/>
  <c r="AR17" i="2" s="1"/>
  <c r="AP32" i="2"/>
  <c r="AR32" i="2" s="1"/>
  <c r="AP22" i="2"/>
  <c r="AR22" i="2" s="1"/>
  <c r="AP16" i="2"/>
  <c r="AR16" i="2" s="1"/>
  <c r="AP60" i="2"/>
  <c r="AR60" i="2" s="1"/>
  <c r="AP39" i="2"/>
  <c r="AR39" i="2" s="1"/>
  <c r="AP40" i="2"/>
  <c r="AR40" i="2" s="1"/>
  <c r="AP37" i="2"/>
  <c r="AR37" i="2" s="1"/>
  <c r="AP31" i="2"/>
  <c r="AR31" i="2" s="1"/>
  <c r="AP27" i="2"/>
  <c r="AR27" i="2" s="1"/>
  <c r="AP21" i="2"/>
  <c r="AR21" i="2" s="1"/>
  <c r="AP34" i="2"/>
  <c r="AR34" i="2" s="1"/>
  <c r="AP28" i="2"/>
  <c r="AR28" i="2" s="1"/>
  <c r="AP20" i="2"/>
  <c r="AR20" i="2" s="1"/>
  <c r="F109" i="2"/>
  <c r="AJ102" i="2"/>
  <c r="AB97" i="2"/>
  <c r="AJ93" i="2"/>
  <c r="BB100" i="2"/>
  <c r="BB90" i="2"/>
  <c r="BB81" i="2"/>
  <c r="AF100" i="2"/>
  <c r="AF90" i="2"/>
  <c r="AF81" i="2"/>
  <c r="AX85" i="2"/>
  <c r="AX87" i="2" s="1"/>
  <c r="BD100" i="2"/>
  <c r="BD90" i="2"/>
  <c r="BD81" i="2"/>
  <c r="X100" i="2"/>
  <c r="X90" i="2"/>
  <c r="X81" i="2"/>
  <c r="D100" i="2"/>
  <c r="D90" i="2"/>
  <c r="AD100" i="2"/>
  <c r="AD90" i="2"/>
  <c r="AD81" i="2"/>
  <c r="AP41" i="2"/>
  <c r="AR41" i="2" s="1"/>
  <c r="F18" i="2"/>
  <c r="J13" i="2"/>
  <c r="AP65" i="2"/>
  <c r="AR65" i="2" s="1"/>
  <c r="AP63" i="2"/>
  <c r="AR63" i="2" s="1"/>
  <c r="AP61" i="2"/>
  <c r="AR61" i="2" s="1"/>
  <c r="AP59" i="2"/>
  <c r="AR59" i="2" s="1"/>
  <c r="AP23" i="2"/>
  <c r="AR23" i="2" s="1"/>
  <c r="AP25" i="2"/>
  <c r="AR25" i="2" s="1"/>
  <c r="AP24" i="2"/>
  <c r="AR24" i="2" s="1"/>
  <c r="N103" i="2"/>
  <c r="J109" i="2"/>
  <c r="F77" i="2"/>
  <c r="J75" i="2"/>
  <c r="F87" i="2"/>
  <c r="J83" i="2"/>
  <c r="AV100" i="2"/>
  <c r="AV90" i="2"/>
  <c r="AV81" i="2"/>
  <c r="B72" i="2"/>
  <c r="AN100" i="2"/>
  <c r="AN90" i="2"/>
  <c r="AN81" i="2"/>
  <c r="H100" i="2"/>
  <c r="H90" i="2"/>
  <c r="AT100" i="2"/>
  <c r="AT90" i="2"/>
  <c r="AT81" i="2"/>
  <c r="F46" i="2"/>
  <c r="J19" i="2"/>
  <c r="AL100" i="2"/>
  <c r="AL90" i="2"/>
  <c r="AL81" i="2"/>
  <c r="N54" i="2"/>
  <c r="J68" i="2"/>
  <c r="J72" i="2" l="1"/>
  <c r="F72" i="2"/>
  <c r="F100" i="2" s="1"/>
  <c r="F117" i="2" s="1"/>
  <c r="AX15" i="2"/>
  <c r="AZ15" i="2" s="1"/>
  <c r="AX61" i="2"/>
  <c r="AZ61" i="2" s="1"/>
  <c r="AX23" i="2"/>
  <c r="AZ23" i="2" s="1"/>
  <c r="AX59" i="2"/>
  <c r="AZ59" i="2" s="1"/>
  <c r="AX63" i="2"/>
  <c r="AZ63" i="2" s="1"/>
  <c r="AX20" i="2"/>
  <c r="AZ20" i="2" s="1"/>
  <c r="AX34" i="2"/>
  <c r="AZ34" i="2" s="1"/>
  <c r="AX27" i="2"/>
  <c r="AZ27" i="2" s="1"/>
  <c r="AX37" i="2"/>
  <c r="AZ37" i="2" s="1"/>
  <c r="AX39" i="2"/>
  <c r="AZ39" i="2" s="1"/>
  <c r="AX22" i="2"/>
  <c r="AZ22" i="2" s="1"/>
  <c r="AX17" i="2"/>
  <c r="AZ17" i="2" s="1"/>
  <c r="AX33" i="2"/>
  <c r="AZ33" i="2" s="1"/>
  <c r="AX42" i="2"/>
  <c r="AZ42" i="2" s="1"/>
  <c r="AX65" i="2"/>
  <c r="AZ65" i="2" s="1"/>
  <c r="AX28" i="2"/>
  <c r="AZ28" i="2" s="1"/>
  <c r="AX21" i="2"/>
  <c r="AZ21" i="2" s="1"/>
  <c r="AX31" i="2"/>
  <c r="AZ31" i="2" s="1"/>
  <c r="AX40" i="2"/>
  <c r="AZ40" i="2" s="1"/>
  <c r="AX16" i="2"/>
  <c r="AZ16" i="2" s="1"/>
  <c r="AX32" i="2"/>
  <c r="AZ32" i="2" s="1"/>
  <c r="AX29" i="2"/>
  <c r="AZ29" i="2" s="1"/>
  <c r="AX38" i="2"/>
  <c r="AZ38" i="2" s="1"/>
  <c r="AX62" i="2"/>
  <c r="AZ62" i="2" s="1"/>
  <c r="N68" i="2"/>
  <c r="N72" i="2" s="1"/>
  <c r="T54" i="2"/>
  <c r="J46" i="2"/>
  <c r="N19" i="2"/>
  <c r="B100" i="2"/>
  <c r="B90" i="2"/>
  <c r="J87" i="2"/>
  <c r="N83" i="2"/>
  <c r="J77" i="2"/>
  <c r="N75" i="2"/>
  <c r="F90" i="2"/>
  <c r="AZ85" i="2"/>
  <c r="T103" i="2"/>
  <c r="N109" i="2"/>
  <c r="AX24" i="2"/>
  <c r="AZ24" i="2" s="1"/>
  <c r="AX25" i="2"/>
  <c r="AZ25" i="2" s="1"/>
  <c r="AX36" i="2"/>
  <c r="AZ36" i="2" s="1"/>
  <c r="AX35" i="2"/>
  <c r="AZ35" i="2" s="1"/>
  <c r="J18" i="2"/>
  <c r="N13" i="2"/>
  <c r="AX41" i="2"/>
  <c r="AZ41" i="2" s="1"/>
  <c r="AJ97" i="2"/>
  <c r="AR93" i="2"/>
  <c r="AR102" i="2"/>
  <c r="AX60" i="2"/>
  <c r="AZ60" i="2" s="1"/>
  <c r="AX26" i="2"/>
  <c r="AZ26" i="2" s="1"/>
  <c r="J100" i="2" l="1"/>
  <c r="J117" i="2" s="1"/>
  <c r="J90" i="2"/>
  <c r="BF26" i="2"/>
  <c r="BH26" i="2" s="1"/>
  <c r="BF38" i="2"/>
  <c r="BH38" i="2" s="1"/>
  <c r="BF32" i="2"/>
  <c r="BH32" i="2" s="1"/>
  <c r="BF40" i="2"/>
  <c r="BH40" i="2" s="1"/>
  <c r="BF21" i="2"/>
  <c r="BH21" i="2" s="1"/>
  <c r="BF65" i="2"/>
  <c r="BH65" i="2" s="1"/>
  <c r="BF33" i="2"/>
  <c r="BH33" i="2" s="1"/>
  <c r="BF22" i="2"/>
  <c r="BH22" i="2" s="1"/>
  <c r="BF37" i="2"/>
  <c r="BH37" i="2" s="1"/>
  <c r="BF34" i="2"/>
  <c r="BH34" i="2" s="1"/>
  <c r="BF23" i="2"/>
  <c r="BH23" i="2" s="1"/>
  <c r="BF60" i="2"/>
  <c r="BH60" i="2" s="1"/>
  <c r="BF62" i="2"/>
  <c r="BH62" i="2" s="1"/>
  <c r="BF29" i="2"/>
  <c r="BH29" i="2" s="1"/>
  <c r="BF16" i="2"/>
  <c r="BH16" i="2" s="1"/>
  <c r="BF31" i="2"/>
  <c r="BH31" i="2" s="1"/>
  <c r="BF28" i="2"/>
  <c r="BH28" i="2" s="1"/>
  <c r="BF42" i="2"/>
  <c r="BH42" i="2" s="1"/>
  <c r="BF17" i="2"/>
  <c r="BH17" i="2" s="1"/>
  <c r="BF39" i="2"/>
  <c r="BH39" i="2" s="1"/>
  <c r="BF27" i="2"/>
  <c r="BH27" i="2" s="1"/>
  <c r="BF20" i="2"/>
  <c r="BH20" i="2" s="1"/>
  <c r="BF15" i="2"/>
  <c r="BH15" i="2" s="1"/>
  <c r="BF41" i="2"/>
  <c r="BH41" i="2" s="1"/>
  <c r="BF35" i="2"/>
  <c r="BH35" i="2" s="1"/>
  <c r="BF36" i="2"/>
  <c r="BH36" i="2" s="1"/>
  <c r="BF25" i="2"/>
  <c r="BH25" i="2" s="1"/>
  <c r="BF24" i="2"/>
  <c r="BH24" i="2" s="1"/>
  <c r="AZ102" i="2"/>
  <c r="AR97" i="2"/>
  <c r="AZ93" i="2"/>
  <c r="N18" i="2"/>
  <c r="T13" i="2"/>
  <c r="BF85" i="2"/>
  <c r="BF87" i="2" s="1"/>
  <c r="BF63" i="2"/>
  <c r="BH63" i="2" s="1"/>
  <c r="BF59" i="2"/>
  <c r="BH59" i="2" s="1"/>
  <c r="BF61" i="2"/>
  <c r="BH61" i="2" s="1"/>
  <c r="AB103" i="2"/>
  <c r="T109" i="2"/>
  <c r="N77" i="2"/>
  <c r="N100" i="2" s="1"/>
  <c r="N117" i="2" s="1"/>
  <c r="T75" i="2"/>
  <c r="T83" i="2"/>
  <c r="N87" i="2"/>
  <c r="N46" i="2"/>
  <c r="T19" i="2"/>
  <c r="T68" i="2"/>
  <c r="T72" i="2" s="1"/>
  <c r="AB54" i="2"/>
  <c r="T100" i="2" l="1"/>
  <c r="T117" i="2" s="1"/>
  <c r="BH85" i="2"/>
  <c r="AJ103" i="2"/>
  <c r="AB109" i="2"/>
  <c r="N90" i="2"/>
  <c r="AB68" i="2"/>
  <c r="AB72" i="2" s="1"/>
  <c r="AH54" i="2"/>
  <c r="AH68" i="2" s="1"/>
  <c r="T46" i="2"/>
  <c r="AB19" i="2"/>
  <c r="T77" i="2"/>
  <c r="T81" i="2" s="1"/>
  <c r="AB75" i="2"/>
  <c r="N81" i="2"/>
  <c r="T18" i="2"/>
  <c r="AB13" i="2"/>
  <c r="AZ97" i="2"/>
  <c r="BH93" i="2"/>
  <c r="BH97" i="2" s="1"/>
  <c r="BH102" i="2"/>
  <c r="T87" i="2"/>
  <c r="AB83" i="2"/>
  <c r="AJ54" i="2" l="1"/>
  <c r="AP54" i="2" s="1"/>
  <c r="AP68" i="2" s="1"/>
  <c r="AH13" i="2"/>
  <c r="AB18" i="2"/>
  <c r="AJ13" i="2"/>
  <c r="AJ68" i="2"/>
  <c r="T90" i="2"/>
  <c r="AB87" i="2"/>
  <c r="AJ83" i="2"/>
  <c r="AJ75" i="2"/>
  <c r="AB77" i="2"/>
  <c r="AB81" i="2" s="1"/>
  <c r="AB46" i="2"/>
  <c r="AH19" i="2"/>
  <c r="AH46" i="2" s="1"/>
  <c r="AB100" i="2"/>
  <c r="AR103" i="2"/>
  <c r="AJ109" i="2"/>
  <c r="AB90" i="2" l="1"/>
  <c r="AR54" i="2"/>
  <c r="AR68" i="2" s="1"/>
  <c r="AZ103" i="2"/>
  <c r="AR109" i="2"/>
  <c r="AB117" i="2"/>
  <c r="AJ19" i="2"/>
  <c r="AJ49" i="2" s="1"/>
  <c r="AJ77" i="2"/>
  <c r="AR75" i="2"/>
  <c r="AJ87" i="2"/>
  <c r="AR83" i="2"/>
  <c r="AJ18" i="2"/>
  <c r="AP13" i="2"/>
  <c r="AH49" i="2"/>
  <c r="AH18" i="2"/>
  <c r="AH48" i="2" s="1"/>
  <c r="AX54" i="2" l="1"/>
  <c r="AX68" i="2" s="1"/>
  <c r="AR77" i="2"/>
  <c r="AZ75" i="2"/>
  <c r="AJ46" i="2"/>
  <c r="AP19" i="2"/>
  <c r="AP46" i="2" s="1"/>
  <c r="BH103" i="2"/>
  <c r="BH109" i="2" s="1"/>
  <c r="AZ109" i="2"/>
  <c r="AJ48" i="2"/>
  <c r="AH72" i="2"/>
  <c r="AP49" i="2"/>
  <c r="AP18" i="2"/>
  <c r="AR13" i="2"/>
  <c r="AR87" i="2"/>
  <c r="AZ83" i="2"/>
  <c r="AZ54" i="2" l="1"/>
  <c r="AZ68" i="2" s="1"/>
  <c r="AP48" i="2"/>
  <c r="AP72" i="2" s="1"/>
  <c r="AH100" i="2"/>
  <c r="AJ100" i="2" s="1"/>
  <c r="AJ117" i="2" s="1"/>
  <c r="AH90" i="2"/>
  <c r="AH81" i="2"/>
  <c r="AJ72" i="2"/>
  <c r="AR19" i="2"/>
  <c r="AR49" i="2" s="1"/>
  <c r="BF54" i="2"/>
  <c r="BF68" i="2" s="1"/>
  <c r="AZ87" i="2"/>
  <c r="BH83" i="2"/>
  <c r="BH87" i="2" s="1"/>
  <c r="AX13" i="2"/>
  <c r="AR18" i="2"/>
  <c r="AZ13" i="2"/>
  <c r="AZ77" i="2"/>
  <c r="BH75" i="2"/>
  <c r="BH77" i="2" s="1"/>
  <c r="AR48" i="2" l="1"/>
  <c r="AZ18" i="2"/>
  <c r="BF13" i="2"/>
  <c r="AX18" i="2"/>
  <c r="BH54" i="2"/>
  <c r="BH68" i="2" s="1"/>
  <c r="AJ90" i="2"/>
  <c r="AJ81" i="2"/>
  <c r="AP100" i="2"/>
  <c r="AP90" i="2"/>
  <c r="AP81" i="2"/>
  <c r="AR72" i="2"/>
  <c r="AR46" i="2"/>
  <c r="AX19" i="2"/>
  <c r="AX46" i="2" s="1"/>
  <c r="AZ19" i="2" l="1"/>
  <c r="AR100" i="2"/>
  <c r="AR117" i="2" s="1"/>
  <c r="AR90" i="2"/>
  <c r="AR81" i="2"/>
  <c r="AX49" i="2"/>
  <c r="AX48" i="2"/>
  <c r="BF18" i="2"/>
  <c r="BH13" i="2"/>
  <c r="BH18" i="2" l="1"/>
  <c r="AX72" i="2"/>
  <c r="AZ48" i="2"/>
  <c r="AZ46" i="2"/>
  <c r="BF19" i="2"/>
  <c r="BH19" i="2" s="1"/>
  <c r="AZ49" i="2"/>
  <c r="BH46" i="2" l="1"/>
  <c r="BH49" i="2"/>
  <c r="AX100" i="2"/>
  <c r="AX90" i="2"/>
  <c r="AX81" i="2"/>
  <c r="BF46" i="2"/>
  <c r="BF48" i="2" s="1"/>
  <c r="BF72" i="2" s="1"/>
  <c r="BF49" i="2"/>
  <c r="AZ72" i="2"/>
  <c r="BH48" i="2" l="1"/>
  <c r="BH72" i="2" s="1"/>
  <c r="BH100" i="2" s="1"/>
  <c r="BH117" i="2" s="1"/>
  <c r="BH90" i="2"/>
  <c r="BF100" i="2"/>
  <c r="BF90" i="2"/>
  <c r="BF81" i="2"/>
  <c r="AZ100" i="2"/>
  <c r="AZ117" i="2" s="1"/>
  <c r="AZ90" i="2"/>
  <c r="AZ81" i="2"/>
  <c r="BH81" i="2" l="1"/>
</calcChain>
</file>

<file path=xl/sharedStrings.xml><?xml version="1.0" encoding="utf-8"?>
<sst xmlns="http://schemas.openxmlformats.org/spreadsheetml/2006/main" count="407" uniqueCount="184">
  <si>
    <t xml:space="preserve"> </t>
  </si>
  <si>
    <t>£000</t>
  </si>
  <si>
    <t>Last Updated February 2015</t>
  </si>
  <si>
    <t>WEST YORKSHIRE POLICE MEDIUM TERM FINANCIAL FORECAST 2014/2015 TO 2019/2020</t>
  </si>
  <si>
    <t>2014-15</t>
  </si>
  <si>
    <t>Post Budget</t>
  </si>
  <si>
    <t>Transfers</t>
  </si>
  <si>
    <t xml:space="preserve">Savings </t>
  </si>
  <si>
    <t>2014/2015</t>
  </si>
  <si>
    <t>Adjustments</t>
  </si>
  <si>
    <t>Savings</t>
  </si>
  <si>
    <t xml:space="preserve">Pay and </t>
  </si>
  <si>
    <t>2015/2016</t>
  </si>
  <si>
    <t>2016/2017</t>
  </si>
  <si>
    <t>2017/2018</t>
  </si>
  <si>
    <t>2018/2019</t>
  </si>
  <si>
    <t>2019/2020</t>
  </si>
  <si>
    <t>Estimate at</t>
  </si>
  <si>
    <t>Estimate</t>
  </si>
  <si>
    <t xml:space="preserve">Estimate </t>
  </si>
  <si>
    <t>identified</t>
  </si>
  <si>
    <t xml:space="preserve">Revised </t>
  </si>
  <si>
    <t>Prices</t>
  </si>
  <si>
    <t>Outturn</t>
  </si>
  <si>
    <t>Vtp4</t>
  </si>
  <si>
    <t>Restated</t>
  </si>
  <si>
    <t>Post Vtp4</t>
  </si>
  <si>
    <t>DEVOLVED AND DELEGATED</t>
  </si>
  <si>
    <t xml:space="preserve">Police Pay </t>
  </si>
  <si>
    <t>Police Allowances</t>
  </si>
  <si>
    <t>Police Staff Pay and Allowances</t>
  </si>
  <si>
    <t>Police Overtime</t>
  </si>
  <si>
    <t>Police Staff Overtime</t>
  </si>
  <si>
    <t>Sub Total Pay and Overtime</t>
  </si>
  <si>
    <t>Medical Expenses</t>
  </si>
  <si>
    <t>Forensic</t>
  </si>
  <si>
    <t>Clothing</t>
  </si>
  <si>
    <t>Training</t>
  </si>
  <si>
    <t>Computers and Communications</t>
  </si>
  <si>
    <t>Buildings Maintenance</t>
  </si>
  <si>
    <t>Cleaning</t>
  </si>
  <si>
    <t>Rent and Rates</t>
  </si>
  <si>
    <t>Energy</t>
  </si>
  <si>
    <t>Contracted Support Services</t>
  </si>
  <si>
    <t>Car Allowances &amp; Travel</t>
  </si>
  <si>
    <t>Vehicle Fleet</t>
  </si>
  <si>
    <t>Contribution to Regional Collaboration</t>
  </si>
  <si>
    <t>Operational and Admin Equipment</t>
  </si>
  <si>
    <t>Printing Stationery Photocopyand Postage</t>
  </si>
  <si>
    <t>Divisional Initiatives/Community Safety</t>
  </si>
  <si>
    <t>ID Parades</t>
  </si>
  <si>
    <t>Vehicle Recovery</t>
  </si>
  <si>
    <t>Agency Staff and Professional Services</t>
  </si>
  <si>
    <t>Helicopter</t>
  </si>
  <si>
    <t>PFI</t>
  </si>
  <si>
    <t>Officers From Other Forces</t>
  </si>
  <si>
    <t>Subsitence Hotel &amp; Hospitality</t>
  </si>
  <si>
    <t>Other</t>
  </si>
  <si>
    <t>Internal Recharges</t>
  </si>
  <si>
    <t>Income</t>
  </si>
  <si>
    <t>POC Running Costs Review</t>
  </si>
  <si>
    <t>Sub Total Non Pay</t>
  </si>
  <si>
    <t>TOTAL DEVOLVED AND DELEGATED</t>
  </si>
  <si>
    <t>NON DEVOLVED/ DELEGATED</t>
  </si>
  <si>
    <t>Pensions</t>
  </si>
  <si>
    <t>Capital Financing:</t>
  </si>
  <si>
    <t>Debt Charges</t>
  </si>
  <si>
    <t>Direct Revenue Support</t>
  </si>
  <si>
    <t>Unfunded Pension Costs</t>
  </si>
  <si>
    <t>Insurance</t>
  </si>
  <si>
    <t>Prisoner Meals</t>
  </si>
  <si>
    <t>Witness Allowances/Interpreters Fees</t>
  </si>
  <si>
    <t>Legal Fees/Ex Gratia Payments</t>
  </si>
  <si>
    <t xml:space="preserve">Other </t>
  </si>
  <si>
    <t>National IT Systems</t>
  </si>
  <si>
    <t>Vehicle Fleet Financing</t>
  </si>
  <si>
    <t>Income General</t>
  </si>
  <si>
    <t>TOTAL NON DEVOLVED/DELEGATED</t>
  </si>
  <si>
    <t xml:space="preserve">TOTAL </t>
  </si>
  <si>
    <t>FUNDED FROM RESERVES</t>
  </si>
  <si>
    <t>ORGANISATIONAL CHANGE COSTS Note 1</t>
  </si>
  <si>
    <t>OPERATIONAL INITIATIVES Note 2</t>
  </si>
  <si>
    <t xml:space="preserve">RECRUITS </t>
  </si>
  <si>
    <t>TOTAL FORCE BUDGET</t>
  </si>
  <si>
    <t>OFFICE OF THE PCC</t>
  </si>
  <si>
    <t>OPCC EXTERNAL FUNDING NOTE 3</t>
  </si>
  <si>
    <t>SHARED SERVICES</t>
  </si>
  <si>
    <t>PNLD</t>
  </si>
  <si>
    <t>TOTAL OPCC AND SHARED SERVICES</t>
  </si>
  <si>
    <t>TOTAL FORCE AND OPCC</t>
  </si>
  <si>
    <t>SAVINGS DELIVERED EARLY TO RESERVES</t>
  </si>
  <si>
    <t>ORGANISATIONAL CHANGE</t>
  </si>
  <si>
    <t>INSURANCE</t>
  </si>
  <si>
    <t>CAPITAL</t>
  </si>
  <si>
    <t>GENERAL BALANCES</t>
  </si>
  <si>
    <t>TOTAL TO RESERVES</t>
  </si>
  <si>
    <t>TOTAL BASE BUDGET</t>
  </si>
  <si>
    <t>FUNDED BY</t>
  </si>
  <si>
    <t>CONTRIBUTION FROM BALANCES</t>
  </si>
  <si>
    <t>CONTRIBUTION FROM EARMARKED RESERVES</t>
  </si>
  <si>
    <t>EXTERNAL SUPPORT</t>
  </si>
  <si>
    <t>COLLECTION FUND SURPLUS/DEFICIT</t>
  </si>
  <si>
    <t>COUNCIL TAX FREEZE GRANT</t>
  </si>
  <si>
    <t>TOTAL FUNDING</t>
  </si>
  <si>
    <t>PRECEPT REQUIREMENT</t>
  </si>
  <si>
    <t>SHORTFALL</t>
  </si>
  <si>
    <t>Police Staff</t>
  </si>
  <si>
    <t>APPENDIX C</t>
  </si>
  <si>
    <t>RESERVES POSITION - BUDGET PAPER FEB 2015.</t>
  </si>
  <si>
    <t>31 March 2014</t>
  </si>
  <si>
    <t xml:space="preserve"> Agreed Transfers</t>
  </si>
  <si>
    <t>1 April 2014</t>
  </si>
  <si>
    <t>Transfer In</t>
  </si>
  <si>
    <t>Transfers Out</t>
  </si>
  <si>
    <t>31 March 2015</t>
  </si>
  <si>
    <t>31 March 2016</t>
  </si>
  <si>
    <t>31 March 2017</t>
  </si>
  <si>
    <t>31 March 2018</t>
  </si>
  <si>
    <t>31 March 2019</t>
  </si>
  <si>
    <t>31 March 2020</t>
  </si>
  <si>
    <t>General Fund Balance</t>
  </si>
  <si>
    <t>General Fund Balance Balance Risk Matrix</t>
  </si>
  <si>
    <t>Capital Grants Unapplied Account</t>
  </si>
  <si>
    <t xml:space="preserve"> Capital Receipts Reserve</t>
  </si>
  <si>
    <t>Earmarked Reserves:</t>
  </si>
  <si>
    <t>Devolvement Reserve</t>
  </si>
  <si>
    <t>Viper Reserve</t>
  </si>
  <si>
    <t>PFI Reserve</t>
  </si>
  <si>
    <t>Regional Working Reserve</t>
  </si>
  <si>
    <t>Dilapidations Reserve</t>
  </si>
  <si>
    <t>Capital Financing Reserve</t>
  </si>
  <si>
    <t>PNLD Reserve</t>
  </si>
  <si>
    <t>Organisational Change Fund</t>
  </si>
  <si>
    <t>Insurance Reserve</t>
  </si>
  <si>
    <t>Community Safety Fund</t>
  </si>
  <si>
    <t>Partnership Executive Group</t>
  </si>
  <si>
    <t>Innovation, Income Generation and Investment</t>
  </si>
  <si>
    <t>Force Transformation</t>
  </si>
  <si>
    <t>Operational Reserve</t>
  </si>
  <si>
    <t>Sub Total EarMarked</t>
  </si>
  <si>
    <t>Total Usable Reserves</t>
  </si>
  <si>
    <t>APPENDIX B</t>
  </si>
  <si>
    <t>SUMMARY MOVEMENT STATEMENT  2014/15 TO 2015/16</t>
  </si>
  <si>
    <t>%</t>
  </si>
  <si>
    <t>BUDGET REQUIREMENT 2014-2015</t>
  </si>
  <si>
    <t>UNAVOIDABLE MOVEMENTS</t>
  </si>
  <si>
    <t>Pay and Prices</t>
  </si>
  <si>
    <t>Police Officer</t>
  </si>
  <si>
    <t>General Inflation</t>
  </si>
  <si>
    <t xml:space="preserve">Revenue Implications of Capital </t>
  </si>
  <si>
    <t>Transformational Bids</t>
  </si>
  <si>
    <t>Software Maintenance</t>
  </si>
  <si>
    <t>Budget Increases</t>
  </si>
  <si>
    <t>Increments</t>
  </si>
  <si>
    <t>Full Year Cost of Recruits</t>
  </si>
  <si>
    <t>Programme of Change</t>
  </si>
  <si>
    <t>EAT Holiday Pay Ruling - Contribution to Provison</t>
  </si>
  <si>
    <t>Maintenance Contracts</t>
  </si>
  <si>
    <t>Bank Holiday Overtime</t>
  </si>
  <si>
    <t>Increased Direct Revenue Financing for Fleet - 15/16 only</t>
  </si>
  <si>
    <t>Organisitional Change Costs - 15/16 only</t>
  </si>
  <si>
    <t>Vehicle Fleet Capital Financing Adjustment</t>
  </si>
  <si>
    <t>Other Spending Pressures including National Police Promotion Framework, PFI Rates, CPS Lawyers.</t>
  </si>
  <si>
    <t>Budget Reductions</t>
  </si>
  <si>
    <t>Ill Health Retirements</t>
  </si>
  <si>
    <t>Increases Funded From Reserves</t>
  </si>
  <si>
    <t>CSE, Human Trafficking and Cyber Crime</t>
  </si>
  <si>
    <t>Income and Grants</t>
  </si>
  <si>
    <t>Loss of PCSO Funding now funded by CSF</t>
  </si>
  <si>
    <t>PCSO contributions - refunds to Local Authorities</t>
  </si>
  <si>
    <t>Immigration Income - change in policy</t>
  </si>
  <si>
    <t>Force Budget Savings</t>
  </si>
  <si>
    <t>Savings  in advance</t>
  </si>
  <si>
    <t>Planned Savings 2015-16</t>
  </si>
  <si>
    <t>Debt Charges and Interest</t>
  </si>
  <si>
    <t>Office of PCC  Budget Savings</t>
  </si>
  <si>
    <t>DRAFT BASE BUDGET 2015/16</t>
  </si>
  <si>
    <t>Use Of Balances</t>
  </si>
  <si>
    <t>Use of Operational Reserve</t>
  </si>
  <si>
    <t>Use of CSF Reserve</t>
  </si>
  <si>
    <t>Central Police Grant</t>
  </si>
  <si>
    <t>Precept &amp; Collection Fund Surplus</t>
  </si>
  <si>
    <t>Total Funding</t>
  </si>
  <si>
    <t>APPENDIX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</si>
</sst>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£&quot;#,##0;[Red]\-&quot;£&quot;#,##0"/>
    <numFmt numFmtId="43" formatCode="_-* #,##0.00_-;\-* #,##0.00_-;_-* &quot;-&quot;??_-;_-@_-"/>
    <numFmt numFmtId="164" formatCode="\ #,###,"/>
    <numFmt numFmtId="165" formatCode="\ #,###.000,"/>
    <numFmt numFmtId="166" formatCode="\ #,###.00000,"/>
    <numFmt numFmtId="167" formatCode="\ #,###.0000,"/>
    <numFmt numFmtId="168" formatCode="\ #,###.00,"/>
    <numFmt numFmtId="169" formatCode="#,##0\ ;\(#,##0\)"/>
    <numFmt numFmtId="170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sz val="14"/>
      <color indexed="8"/>
      <name val="Verdana"/>
      <family val="2"/>
    </font>
    <font>
      <b/>
      <u val="double"/>
      <sz val="14"/>
      <name val="Verdana"/>
      <family val="2"/>
    </font>
    <font>
      <b/>
      <u/>
      <sz val="14"/>
      <name val="Verdan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</cellStyleXfs>
  <cellXfs count="123">
    <xf numFmtId="0" fontId="0" fillId="0" borderId="0" xfId="0"/>
    <xf numFmtId="0" fontId="1" fillId="0" borderId="0" xfId="2"/>
    <xf numFmtId="0" fontId="2" fillId="0" borderId="0" xfId="2" applyFont="1"/>
    <xf numFmtId="0" fontId="1" fillId="0" borderId="0" xfId="2" applyFont="1"/>
    <xf numFmtId="0" fontId="2" fillId="0" borderId="0" xfId="2" quotePrefix="1" applyFont="1" applyAlignment="1">
      <alignment horizontal="right"/>
    </xf>
    <xf numFmtId="0" fontId="1" fillId="0" borderId="0" xfId="2" applyBorder="1"/>
    <xf numFmtId="3" fontId="2" fillId="0" borderId="0" xfId="2" applyNumberFormat="1" applyFont="1"/>
    <xf numFmtId="3" fontId="1" fillId="0" borderId="0" xfId="2" applyNumberFormat="1"/>
    <xf numFmtId="3" fontId="1" fillId="0" borderId="0" xfId="2" applyNumberFormat="1" applyBorder="1"/>
    <xf numFmtId="3" fontId="4" fillId="0" borderId="0" xfId="2" applyNumberFormat="1" applyFont="1" applyBorder="1" applyAlignment="1">
      <alignment horizontal="center" wrapText="1"/>
    </xf>
    <xf numFmtId="3" fontId="1" fillId="0" borderId="0" xfId="2" applyNumberFormat="1" applyFill="1"/>
    <xf numFmtId="0" fontId="1" fillId="0" borderId="0" xfId="2" applyFill="1"/>
    <xf numFmtId="0" fontId="5" fillId="0" borderId="0" xfId="2" applyNumberFormat="1" applyFont="1"/>
    <xf numFmtId="164" fontId="5" fillId="0" borderId="0" xfId="2" applyNumberFormat="1" applyFont="1" applyBorder="1"/>
    <xf numFmtId="164" fontId="5" fillId="0" borderId="0" xfId="2" applyNumberFormat="1" applyFont="1" applyBorder="1" applyAlignment="1">
      <alignment horizontal="right"/>
    </xf>
    <xf numFmtId="164" fontId="5" fillId="0" borderId="0" xfId="2" applyNumberFormat="1" applyFont="1"/>
    <xf numFmtId="164" fontId="5" fillId="2" borderId="1" xfId="2" applyNumberFormat="1" applyFont="1" applyFill="1" applyBorder="1" applyAlignment="1">
      <alignment horizontal="centerContinuous" vertical="center"/>
    </xf>
    <xf numFmtId="164" fontId="5" fillId="2" borderId="2" xfId="2" applyNumberFormat="1" applyFont="1" applyFill="1" applyBorder="1" applyAlignment="1">
      <alignment horizontal="centerContinuous" vertical="center"/>
    </xf>
    <xf numFmtId="164" fontId="6" fillId="2" borderId="2" xfId="2" applyNumberFormat="1" applyFont="1" applyFill="1" applyBorder="1" applyAlignment="1">
      <alignment horizontal="centerContinuous" vertical="center"/>
    </xf>
    <xf numFmtId="164" fontId="5" fillId="2" borderId="1" xfId="2" applyNumberFormat="1" applyFont="1" applyFill="1" applyBorder="1"/>
    <xf numFmtId="164" fontId="5" fillId="2" borderId="3" xfId="2" applyNumberFormat="1" applyFont="1" applyFill="1" applyBorder="1"/>
    <xf numFmtId="164" fontId="7" fillId="3" borderId="0" xfId="2" applyNumberFormat="1" applyFont="1" applyFill="1" applyBorder="1" applyAlignment="1">
      <alignment horizontal="centerContinuous"/>
    </xf>
    <xf numFmtId="164" fontId="5" fillId="3" borderId="0" xfId="2" applyNumberFormat="1" applyFont="1" applyFill="1" applyAlignment="1">
      <alignment horizontal="center"/>
    </xf>
    <xf numFmtId="49" fontId="5" fillId="3" borderId="4" xfId="2" applyNumberFormat="1" applyFont="1" applyFill="1" applyBorder="1" applyAlignment="1">
      <alignment horizontal="center"/>
    </xf>
    <xf numFmtId="164" fontId="5" fillId="3" borderId="4" xfId="2" applyNumberFormat="1" applyFont="1" applyFill="1" applyBorder="1" applyAlignment="1">
      <alignment horizontal="center"/>
    </xf>
    <xf numFmtId="164" fontId="5" fillId="3" borderId="0" xfId="2" applyNumberFormat="1" applyFont="1" applyFill="1" applyBorder="1" applyAlignment="1">
      <alignment horizontal="center"/>
    </xf>
    <xf numFmtId="164" fontId="5" fillId="3" borderId="5" xfId="2" applyNumberFormat="1" applyFont="1" applyFill="1" applyBorder="1" applyAlignment="1">
      <alignment horizontal="center"/>
    </xf>
    <xf numFmtId="164" fontId="5" fillId="3" borderId="0" xfId="2" applyNumberFormat="1" applyFont="1" applyFill="1"/>
    <xf numFmtId="164" fontId="5" fillId="3" borderId="6" xfId="2" applyNumberFormat="1" applyFont="1" applyFill="1" applyBorder="1" applyAlignment="1" applyProtection="1">
      <alignment horizontal="center"/>
      <protection locked="0"/>
    </xf>
    <xf numFmtId="164" fontId="5" fillId="3" borderId="6" xfId="2" applyNumberFormat="1" applyFont="1" applyFill="1" applyBorder="1" applyAlignment="1">
      <alignment horizontal="center"/>
    </xf>
    <xf numFmtId="164" fontId="5" fillId="0" borderId="0" xfId="2" applyNumberFormat="1" applyFont="1" applyProtection="1">
      <protection locked="0"/>
    </xf>
    <xf numFmtId="164" fontId="8" fillId="3" borderId="7" xfId="2" applyNumberFormat="1" applyFont="1" applyFill="1" applyBorder="1" applyAlignment="1">
      <alignment horizontal="left"/>
    </xf>
    <xf numFmtId="164" fontId="5" fillId="0" borderId="7" xfId="2" applyNumberFormat="1" applyFont="1" applyBorder="1" applyProtection="1">
      <protection locked="0"/>
    </xf>
    <xf numFmtId="164" fontId="5" fillId="0" borderId="7" xfId="2" applyNumberFormat="1" applyFont="1" applyBorder="1"/>
    <xf numFmtId="165" fontId="5" fillId="0" borderId="7" xfId="2" applyNumberFormat="1" applyFont="1" applyBorder="1" applyProtection="1">
      <protection locked="0"/>
    </xf>
    <xf numFmtId="164" fontId="8" fillId="3" borderId="0" xfId="2" applyNumberFormat="1" applyFont="1" applyFill="1" applyBorder="1" applyAlignment="1">
      <alignment horizontal="left"/>
    </xf>
    <xf numFmtId="164" fontId="5" fillId="0" borderId="4" xfId="2" applyNumberFormat="1" applyFont="1" applyBorder="1" applyProtection="1">
      <protection locked="0"/>
    </xf>
    <xf numFmtId="164" fontId="5" fillId="0" borderId="4" xfId="2" applyNumberFormat="1" applyFont="1" applyBorder="1"/>
    <xf numFmtId="165" fontId="5" fillId="0" borderId="4" xfId="2" applyNumberFormat="1" applyFont="1" applyBorder="1" applyProtection="1">
      <protection locked="0"/>
    </xf>
    <xf numFmtId="3" fontId="5" fillId="0" borderId="5" xfId="2" applyNumberFormat="1" applyFont="1" applyBorder="1"/>
    <xf numFmtId="3" fontId="5" fillId="0" borderId="0" xfId="2" applyNumberFormat="1" applyFont="1" applyBorder="1"/>
    <xf numFmtId="3" fontId="5" fillId="0" borderId="0" xfId="3" applyNumberFormat="1" applyFont="1" applyBorder="1" applyAlignment="1">
      <alignment horizontal="right"/>
    </xf>
    <xf numFmtId="165" fontId="5" fillId="0" borderId="0" xfId="2" applyNumberFormat="1" applyFont="1" applyBorder="1"/>
    <xf numFmtId="3" fontId="5" fillId="0" borderId="5" xfId="2" applyNumberFormat="1" applyFont="1" applyFill="1" applyBorder="1"/>
    <xf numFmtId="3" fontId="5" fillId="0" borderId="0" xfId="2" applyNumberFormat="1" applyFont="1" applyFill="1" applyBorder="1"/>
    <xf numFmtId="166" fontId="5" fillId="0" borderId="0" xfId="2" applyNumberFormat="1" applyFont="1" applyBorder="1"/>
    <xf numFmtId="3" fontId="5" fillId="0" borderId="6" xfId="2" applyNumberFormat="1" applyFont="1" applyBorder="1"/>
    <xf numFmtId="164" fontId="5" fillId="0" borderId="0" xfId="2" applyNumberFormat="1" applyFont="1" applyAlignment="1">
      <alignment horizontal="left"/>
    </xf>
    <xf numFmtId="3" fontId="5" fillId="0" borderId="8" xfId="2" applyNumberFormat="1" applyFont="1" applyBorder="1"/>
    <xf numFmtId="3" fontId="5" fillId="0" borderId="0" xfId="2" applyNumberFormat="1" applyFont="1"/>
    <xf numFmtId="3" fontId="5" fillId="0" borderId="7" xfId="2" applyNumberFormat="1" applyFont="1" applyBorder="1" applyProtection="1">
      <protection locked="0"/>
    </xf>
    <xf numFmtId="3" fontId="5" fillId="0" borderId="7" xfId="2" applyNumberFormat="1" applyFont="1" applyBorder="1"/>
    <xf numFmtId="3" fontId="5" fillId="0" borderId="4" xfId="2" applyNumberFormat="1" applyFont="1" applyBorder="1" applyProtection="1">
      <protection locked="0"/>
    </xf>
    <xf numFmtId="3" fontId="5" fillId="0" borderId="4" xfId="2" applyNumberFormat="1" applyFont="1" applyBorder="1"/>
    <xf numFmtId="164" fontId="5" fillId="3" borderId="0" xfId="2" applyNumberFormat="1" applyFont="1" applyFill="1" applyBorder="1" applyAlignment="1">
      <alignment horizontal="left"/>
    </xf>
    <xf numFmtId="3" fontId="5" fillId="0" borderId="9" xfId="2" applyNumberFormat="1" applyFont="1" applyBorder="1"/>
    <xf numFmtId="3" fontId="5" fillId="0" borderId="10" xfId="2" applyNumberFormat="1" applyFont="1" applyBorder="1"/>
    <xf numFmtId="164" fontId="5" fillId="0" borderId="0" xfId="2" applyNumberFormat="1" applyFont="1" applyBorder="1" applyAlignment="1">
      <alignment horizontal="left"/>
    </xf>
    <xf numFmtId="3" fontId="5" fillId="0" borderId="11" xfId="2" applyNumberFormat="1" applyFont="1" applyBorder="1" applyProtection="1">
      <protection locked="0"/>
    </xf>
    <xf numFmtId="3" fontId="5" fillId="0" borderId="11" xfId="2" applyNumberFormat="1" applyFont="1" applyBorder="1"/>
    <xf numFmtId="164" fontId="8" fillId="0" borderId="0" xfId="2" applyNumberFormat="1" applyFont="1" applyAlignment="1">
      <alignment horizontal="left"/>
    </xf>
    <xf numFmtId="3" fontId="5" fillId="0" borderId="12" xfId="2" applyNumberFormat="1" applyFont="1" applyBorder="1"/>
    <xf numFmtId="3" fontId="5" fillId="0" borderId="13" xfId="2" applyNumberFormat="1" applyFont="1" applyBorder="1"/>
    <xf numFmtId="3" fontId="5" fillId="0" borderId="5" xfId="2" applyNumberFormat="1" applyFont="1" applyBorder="1" applyProtection="1">
      <protection locked="0"/>
    </xf>
    <xf numFmtId="1" fontId="5" fillId="0" borderId="5" xfId="1" applyNumberFormat="1" applyFont="1" applyBorder="1"/>
    <xf numFmtId="164" fontId="9" fillId="0" borderId="0" xfId="2" applyNumberFormat="1" applyFont="1"/>
    <xf numFmtId="3" fontId="5" fillId="0" borderId="14" xfId="2" applyNumberFormat="1" applyFont="1" applyBorder="1"/>
    <xf numFmtId="0" fontId="3" fillId="0" borderId="0" xfId="2" applyFont="1" applyBorder="1" applyAlignment="1">
      <alignment vertical="top" wrapText="1"/>
    </xf>
    <xf numFmtId="3" fontId="5" fillId="0" borderId="6" xfId="2" applyNumberFormat="1" applyFont="1" applyBorder="1" applyProtection="1">
      <protection locked="0"/>
    </xf>
    <xf numFmtId="1" fontId="5" fillId="0" borderId="0" xfId="2" applyNumberFormat="1" applyFont="1" applyBorder="1"/>
    <xf numFmtId="167" fontId="5" fillId="0" borderId="0" xfId="2" applyNumberFormat="1" applyFont="1" applyBorder="1"/>
    <xf numFmtId="168" fontId="5" fillId="0" borderId="0" xfId="2" applyNumberFormat="1" applyFont="1" applyBorder="1"/>
    <xf numFmtId="10" fontId="5" fillId="0" borderId="0" xfId="1" applyNumberFormat="1" applyFont="1" applyBorder="1"/>
    <xf numFmtId="2" fontId="5" fillId="0" borderId="0" xfId="1" applyNumberFormat="1" applyFont="1" applyBorder="1"/>
    <xf numFmtId="0" fontId="11" fillId="0" borderId="0" xfId="5" applyFill="1" applyBorder="1"/>
    <xf numFmtId="0" fontId="12" fillId="0" borderId="0" xfId="5" applyFont="1" applyFill="1" applyBorder="1"/>
    <xf numFmtId="0" fontId="1" fillId="0" borderId="0" xfId="5" applyFont="1" applyFill="1"/>
    <xf numFmtId="0" fontId="13" fillId="0" borderId="0" xfId="5" applyFont="1" applyBorder="1"/>
    <xf numFmtId="0" fontId="11" fillId="0" borderId="0" xfId="5"/>
    <xf numFmtId="0" fontId="13" fillId="0" borderId="0" xfId="5" applyFont="1"/>
    <xf numFmtId="0" fontId="14" fillId="4" borderId="15" xfId="5" quotePrefix="1" applyFont="1" applyFill="1" applyBorder="1" applyAlignment="1">
      <alignment horizontal="center" wrapText="1"/>
    </xf>
    <xf numFmtId="0" fontId="14" fillId="0" borderId="15" xfId="5" applyFont="1" applyBorder="1" applyAlignment="1">
      <alignment horizontal="center" wrapText="1"/>
    </xf>
    <xf numFmtId="49" fontId="14" fillId="4" borderId="16" xfId="5" applyNumberFormat="1" applyFont="1" applyFill="1" applyBorder="1" applyAlignment="1">
      <alignment horizontal="center"/>
    </xf>
    <xf numFmtId="49" fontId="14" fillId="0" borderId="16" xfId="5" applyNumberFormat="1" applyFont="1" applyFill="1" applyBorder="1" applyAlignment="1">
      <alignment horizontal="center"/>
    </xf>
    <xf numFmtId="49" fontId="14" fillId="0" borderId="17" xfId="5" applyNumberFormat="1" applyFont="1" applyFill="1" applyBorder="1" applyAlignment="1">
      <alignment horizontal="center"/>
    </xf>
    <xf numFmtId="0" fontId="13" fillId="2" borderId="0" xfId="5" applyFont="1" applyFill="1"/>
    <xf numFmtId="0" fontId="13" fillId="2" borderId="15" xfId="5" applyFont="1" applyFill="1" applyBorder="1" applyAlignment="1">
      <alignment wrapText="1"/>
    </xf>
    <xf numFmtId="169" fontId="13" fillId="2" borderId="17" xfId="4" applyNumberFormat="1" applyFont="1" applyFill="1" applyBorder="1"/>
    <xf numFmtId="1" fontId="13" fillId="2" borderId="15" xfId="4" applyNumberFormat="1" applyFont="1" applyFill="1" applyBorder="1" applyAlignment="1">
      <alignment wrapText="1"/>
    </xf>
    <xf numFmtId="0" fontId="13" fillId="2" borderId="18" xfId="5" applyFont="1" applyFill="1" applyBorder="1"/>
    <xf numFmtId="0" fontId="13" fillId="2" borderId="15" xfId="5" applyFont="1" applyFill="1" applyBorder="1"/>
    <xf numFmtId="0" fontId="13" fillId="0" borderId="17" xfId="5" applyFont="1" applyFill="1" applyBorder="1" applyAlignment="1">
      <alignment wrapText="1"/>
    </xf>
    <xf numFmtId="169" fontId="13" fillId="0" borderId="17" xfId="4" applyNumberFormat="1" applyFont="1" applyFill="1" applyBorder="1"/>
    <xf numFmtId="1" fontId="13" fillId="0" borderId="17" xfId="4" applyNumberFormat="1" applyFont="1" applyFill="1" applyBorder="1" applyAlignment="1">
      <alignment wrapText="1"/>
    </xf>
    <xf numFmtId="0" fontId="13" fillId="0" borderId="0" xfId="5" applyFont="1" applyFill="1" applyBorder="1"/>
    <xf numFmtId="0" fontId="13" fillId="0" borderId="17" xfId="5" applyFont="1" applyFill="1" applyBorder="1"/>
    <xf numFmtId="0" fontId="13" fillId="0" borderId="0" xfId="5" applyFont="1" applyFill="1"/>
    <xf numFmtId="170" fontId="13" fillId="0" borderId="17" xfId="4" applyNumberFormat="1" applyFont="1" applyFill="1" applyBorder="1" applyAlignment="1">
      <alignment wrapText="1"/>
    </xf>
    <xf numFmtId="0" fontId="15" fillId="0" borderId="17" xfId="5" applyFont="1" applyFill="1" applyBorder="1" applyAlignment="1">
      <alignment wrapText="1"/>
    </xf>
    <xf numFmtId="0" fontId="14" fillId="0" borderId="17" xfId="5" applyFont="1" applyFill="1" applyBorder="1" applyAlignment="1">
      <alignment wrapText="1"/>
    </xf>
    <xf numFmtId="169" fontId="14" fillId="0" borderId="17" xfId="4" applyNumberFormat="1" applyFont="1" applyFill="1" applyBorder="1"/>
    <xf numFmtId="169" fontId="14" fillId="0" borderId="16" xfId="4" applyNumberFormat="1" applyFont="1" applyFill="1" applyBorder="1"/>
    <xf numFmtId="0" fontId="14" fillId="0" borderId="19" xfId="5" applyFont="1" applyBorder="1" applyAlignment="1">
      <alignment wrapText="1"/>
    </xf>
    <xf numFmtId="169" fontId="14" fillId="4" borderId="19" xfId="4" applyNumberFormat="1" applyFont="1" applyFill="1" applyBorder="1"/>
    <xf numFmtId="0" fontId="14" fillId="0" borderId="0" xfId="5" applyFont="1" applyAlignment="1">
      <alignment wrapText="1"/>
    </xf>
    <xf numFmtId="170" fontId="14" fillId="0" borderId="0" xfId="4" applyNumberFormat="1" applyFont="1" applyFill="1" applyAlignment="1">
      <alignment horizontal="center" wrapText="1"/>
    </xf>
    <xf numFmtId="0" fontId="11" fillId="0" borderId="0" xfId="5" applyFont="1"/>
    <xf numFmtId="0" fontId="16" fillId="0" borderId="0" xfId="2" applyFont="1"/>
    <xf numFmtId="2" fontId="2" fillId="0" borderId="0" xfId="2" applyNumberFormat="1" applyFont="1"/>
    <xf numFmtId="6" fontId="2" fillId="0" borderId="0" xfId="2" quotePrefix="1" applyNumberFormat="1" applyFont="1" applyAlignment="1">
      <alignment horizontal="right"/>
    </xf>
    <xf numFmtId="2" fontId="2" fillId="0" borderId="0" xfId="2" applyNumberFormat="1" applyFont="1" applyAlignment="1">
      <alignment horizontal="right"/>
    </xf>
    <xf numFmtId="2" fontId="1" fillId="0" borderId="0" xfId="2" applyNumberFormat="1"/>
    <xf numFmtId="0" fontId="1" fillId="0" borderId="0" xfId="2" applyAlignment="1">
      <alignment horizontal="right"/>
    </xf>
    <xf numFmtId="2" fontId="1" fillId="0" borderId="0" xfId="2" applyNumberFormat="1" applyFill="1"/>
    <xf numFmtId="1" fontId="1" fillId="0" borderId="0" xfId="2" applyNumberFormat="1"/>
    <xf numFmtId="3" fontId="1" fillId="0" borderId="20" xfId="2" applyNumberFormat="1" applyFill="1" applyBorder="1"/>
    <xf numFmtId="1" fontId="1" fillId="0" borderId="0" xfId="2" applyNumberFormat="1" applyFill="1"/>
    <xf numFmtId="0" fontId="0" fillId="0" borderId="0" xfId="0" applyAlignment="1">
      <alignment wrapText="1"/>
    </xf>
    <xf numFmtId="3" fontId="1" fillId="0" borderId="0" xfId="2" applyNumberFormat="1" applyFill="1" applyBorder="1"/>
    <xf numFmtId="2" fontId="1" fillId="0" borderId="0" xfId="2" applyNumberFormat="1" applyFont="1"/>
    <xf numFmtId="2" fontId="2" fillId="0" borderId="0" xfId="2" applyNumberFormat="1" applyFont="1" applyFill="1"/>
    <xf numFmtId="0" fontId="1" fillId="0" borderId="0" xfId="2" applyFont="1" applyAlignment="1">
      <alignment wrapText="1"/>
    </xf>
    <xf numFmtId="0" fontId="0" fillId="0" borderId="0" xfId="0" applyAlignment="1">
      <alignment wrapText="1"/>
    </xf>
  </cellXfs>
  <cellStyles count="6">
    <cellStyle name="Comma" xfId="4" builtinId="3"/>
    <cellStyle name="Comma_PA Budget Seminar MTFF Appendices 22 Oct 2004" xfId="3"/>
    <cellStyle name="Normal" xfId="0" builtinId="0"/>
    <cellStyle name="Normal 2 2" xfId="2"/>
    <cellStyle name="Normal_Copy Of Reserves Notes 20 and 21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a59\erdms_sjlg\LGF\LGF%202%20Revenue\SSA%20calculations\2007-08\Models\Copies\Copy%20of%20NF1_2007-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RA\Police\Police%20Finance\04_Police%20Allocation%20Formula\02_PFF%20Models\pff2013%20-%20WORKING%20MODEL\20121101%20PFFModel_1314_Pre%20August%20Statement_TJ%20AGREED%20WITH%20DCL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yp-infoshare/sites/kbf/Finances/Budgets/BUDGETS2/Budget%20Working%20Papers/Budget%20Wp%202015%20-%202016/Final%20Budget%20February%202015%20append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yp-infoshare/sites/kbf/Finances/FIN%20Forms/Ruth/Budget%202015%202016/February%2015%20Budget%20Append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ypes"/>
      <sheetName val="UA details"/>
      <sheetName val="AccessResults"/>
      <sheetName val="CreateOutputBlock"/>
      <sheetName val="DataSummary"/>
      <sheetName val="ModDataSumm"/>
      <sheetName val="DlgDataSumm"/>
      <sheetName val=".PUPILS"/>
      <sheetName val=".FSM"/>
      <sheetName val=".SCHOOLS"/>
      <sheetName val=".KS2"/>
      <sheetName val=".POPULATION"/>
      <sheetName val=".DEATHS"/>
      <sheetName val=".TOURISM"/>
      <sheetName val=".IMD"/>
      <sheetName val=".CENSUS_DATA"/>
      <sheetName val=".SETTLEMENT"/>
      <sheetName val=".DISPERSION"/>
      <sheetName val=".ROADS"/>
      <sheetName val="UNINTENT_HOME"/>
      <sheetName val="INTENT_HOME"/>
      <sheetName val="ELIGIBLE_HOME"/>
      <sheetName val="ELIGIBLE_NOT_HOME"/>
      <sheetName val="INELIGIBLE"/>
      <sheetName val=".HOMELESSNESS"/>
      <sheetName val="HMO"/>
      <sheetName val="DFG_MANDATORY"/>
      <sheetName val="HOME_REPAIR"/>
      <sheetName val=".RENOVATION_GRANT"/>
      <sheetName val="ModValid"/>
      <sheetName val="DlgValid"/>
      <sheetName val="TabValid"/>
      <sheetName val="ModPrint"/>
      <sheetName val="Questionnair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Sheet"/>
      <sheetName val="Version History"/>
      <sheetName val="ABC - Activity Weights"/>
      <sheetName val="Monetary Control totals"/>
      <sheetName val="Variable Data"/>
      <sheetName val="updated var data"/>
      <sheetName val="Regression Coeffs"/>
      <sheetName val="Workload - Crime"/>
      <sheetName val="Workload - Incidents"/>
      <sheetName val="Workload - FOC"/>
      <sheetName val="Workload - Traffic"/>
      <sheetName val="Workload - Special Events"/>
      <sheetName val="Sparsity Top Up"/>
      <sheetName val="Workload - Security"/>
      <sheetName val="Coeffs Step1"/>
      <sheetName val="Allocations Step1"/>
      <sheetName val="Coeffs Step2"/>
      <sheetName val="Allocations Step2"/>
      <sheetName val="Allocations_Police Grant Report"/>
      <sheetName val="Coefficients_PG Report"/>
    </sheetNames>
    <sheetDataSet>
      <sheetData sheetId="0" refreshError="1"/>
      <sheetData sheetId="1" refreshError="1"/>
      <sheetData sheetId="2" refreshError="1"/>
      <sheetData sheetId="3">
        <row r="19">
          <cell r="B19">
            <v>10000000000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B"/>
      <sheetName val="Changes made in Feb 15 MTFF"/>
      <sheetName val="Movement Statement  "/>
      <sheetName val="DEVOLVED AND DEL INC TRAIN"/>
      <sheetName val="MTFF "/>
      <sheetName val="SUMMARY BUDGET MOVES "/>
      <sheetName val="Non Pay for People Forecast"/>
      <sheetName val="NON DEV NON DEL "/>
      <sheetName val="Appendix C"/>
      <sheetName val="People Forecast2"/>
      <sheetName val="Reserves Strategy"/>
      <sheetName val="ORG CHANGE"/>
      <sheetName val="MTFF  Combined"/>
      <sheetName val="MTFF SUMMARY"/>
      <sheetName val="MTFF  Force"/>
      <sheetName val="MTFF  Region"/>
      <sheetName val="People Forecast  Cumulative"/>
      <sheetName val="People Forecast "/>
      <sheetName val="Changes in this version"/>
      <sheetName val="Staff Movement Forecast"/>
      <sheetName val="Sheet1"/>
      <sheetName val="Savings Pay Nos Rec"/>
      <sheetName val="Funding"/>
      <sheetName val="People Budget "/>
      <sheetName val="SUBJ ANALYSIS SUMMARY"/>
      <sheetName val="REGION"/>
      <sheetName val="SHARED SERVICES"/>
      <sheetName val="PNLD"/>
      <sheetName val="OPCC"/>
      <sheetName val="PFI Movements"/>
      <sheetName val="Original Budget on Sun"/>
      <sheetName val="Regional Movement"/>
      <sheetName val="Reserves1"/>
      <sheetName val="Reserves 2"/>
      <sheetName val="Reserves"/>
      <sheetName val="Debt Charges"/>
      <sheetName val="Growth Analysis"/>
      <sheetName val="SP"/>
      <sheetName val="2013-14 workings"/>
      <sheetName val="2014-15 work NEW (2)"/>
      <sheetName val="2012-13 workings"/>
      <sheetName val="Final Alloc"/>
      <sheetName val="Reconciliation to Fin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1">
          <cell r="AK31">
            <v>5785</v>
          </cell>
        </row>
        <row r="33">
          <cell r="AM33">
            <v>800</v>
          </cell>
        </row>
        <row r="39">
          <cell r="AM39">
            <v>126</v>
          </cell>
          <cell r="AO39">
            <v>600</v>
          </cell>
        </row>
        <row r="48">
          <cell r="AM48">
            <v>1500</v>
          </cell>
        </row>
        <row r="51">
          <cell r="AK51">
            <v>800</v>
          </cell>
          <cell r="AM51">
            <v>200</v>
          </cell>
        </row>
        <row r="59">
          <cell r="AM59">
            <v>200</v>
          </cell>
        </row>
        <row r="83">
          <cell r="AM83">
            <v>130</v>
          </cell>
        </row>
        <row r="97">
          <cell r="AM97">
            <v>43</v>
          </cell>
        </row>
        <row r="99">
          <cell r="AM99">
            <v>21</v>
          </cell>
        </row>
        <row r="133">
          <cell r="AM133">
            <v>50</v>
          </cell>
        </row>
        <row r="143">
          <cell r="AM143">
            <v>57</v>
          </cell>
        </row>
        <row r="146">
          <cell r="AM146">
            <v>10</v>
          </cell>
        </row>
        <row r="160">
          <cell r="AM160">
            <v>13</v>
          </cell>
        </row>
        <row r="178">
          <cell r="AM178">
            <v>50</v>
          </cell>
        </row>
        <row r="195">
          <cell r="AM195">
            <v>200</v>
          </cell>
        </row>
        <row r="199">
          <cell r="AM199">
            <v>4</v>
          </cell>
        </row>
        <row r="241">
          <cell r="AM241">
            <v>120</v>
          </cell>
        </row>
        <row r="268">
          <cell r="AM268">
            <v>467</v>
          </cell>
        </row>
        <row r="291">
          <cell r="AS291">
            <v>-23069.85</v>
          </cell>
        </row>
      </sheetData>
      <sheetData sheetId="5" refreshError="1">
        <row r="98">
          <cell r="L98">
            <v>335549.41200000001</v>
          </cell>
        </row>
        <row r="100">
          <cell r="L100">
            <v>739</v>
          </cell>
          <cell r="N100">
            <v>10</v>
          </cell>
        </row>
        <row r="108">
          <cell r="D108">
            <v>0</v>
          </cell>
        </row>
      </sheetData>
      <sheetData sheetId="6" refreshError="1">
        <row r="12">
          <cell r="I12">
            <v>238617.72745534516</v>
          </cell>
          <cell r="J12">
            <v>-2864</v>
          </cell>
          <cell r="L12">
            <v>-3819.3820381397795</v>
          </cell>
          <cell r="M12">
            <v>0</v>
          </cell>
          <cell r="N12">
            <v>0</v>
          </cell>
          <cell r="P12">
            <v>-1085</v>
          </cell>
          <cell r="R12">
            <v>1340.550939100365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960.29164530110427</v>
          </cell>
          <cell r="AJ12">
            <v>5785</v>
          </cell>
          <cell r="AK12">
            <v>0</v>
          </cell>
          <cell r="AL12">
            <v>800</v>
          </cell>
          <cell r="AM12">
            <v>2834</v>
          </cell>
          <cell r="AN12">
            <v>0</v>
          </cell>
          <cell r="AO12">
            <v>0</v>
          </cell>
          <cell r="AP12">
            <v>0</v>
          </cell>
          <cell r="AQ12">
            <v>-1485</v>
          </cell>
          <cell r="AR12">
            <v>-8026</v>
          </cell>
          <cell r="AT12">
            <v>1359.50609667604</v>
          </cell>
        </row>
        <row r="13">
          <cell r="I13">
            <v>4989.8744217364383</v>
          </cell>
          <cell r="J13">
            <v>-234</v>
          </cell>
          <cell r="L13">
            <v>-82.58974854150415</v>
          </cell>
          <cell r="M13">
            <v>0</v>
          </cell>
          <cell r="N13">
            <v>0</v>
          </cell>
          <cell r="P13">
            <v>0</v>
          </cell>
          <cell r="R13">
            <v>0.70075939393939402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0.50346225505050501</v>
          </cell>
          <cell r="AJ13">
            <v>0</v>
          </cell>
          <cell r="AK13">
            <v>-1432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0.80005886051040775</v>
          </cell>
        </row>
        <row r="14">
          <cell r="I14">
            <v>109169.985</v>
          </cell>
          <cell r="J14">
            <v>-433</v>
          </cell>
          <cell r="L14">
            <v>-11718</v>
          </cell>
          <cell r="M14">
            <v>1604</v>
          </cell>
          <cell r="N14">
            <v>-789</v>
          </cell>
          <cell r="P14">
            <v>-313</v>
          </cell>
          <cell r="R14">
            <v>568.8724125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I14">
            <v>331.66475516944445</v>
          </cell>
          <cell r="AJ14">
            <v>800</v>
          </cell>
          <cell r="AK14">
            <v>0</v>
          </cell>
          <cell r="AL14">
            <v>1700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-840</v>
          </cell>
          <cell r="AR14">
            <v>-6861.85</v>
          </cell>
          <cell r="AT14">
            <v>1187.7128363488514</v>
          </cell>
        </row>
        <row r="15">
          <cell r="I15">
            <v>6525.9549999999999</v>
          </cell>
          <cell r="J15">
            <v>0</v>
          </cell>
          <cell r="L15">
            <v>-638</v>
          </cell>
          <cell r="M15">
            <v>0</v>
          </cell>
          <cell r="N15">
            <v>0</v>
          </cell>
          <cell r="P15">
            <v>200</v>
          </cell>
          <cell r="R15">
            <v>35.513070833333337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I15">
            <v>25.514450295138889</v>
          </cell>
          <cell r="AJ15">
            <v>0</v>
          </cell>
          <cell r="AK15">
            <v>0</v>
          </cell>
          <cell r="AL15">
            <v>126</v>
          </cell>
          <cell r="AM15">
            <v>0</v>
          </cell>
          <cell r="AN15">
            <v>600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40.104064706582754</v>
          </cell>
        </row>
        <row r="16">
          <cell r="I16">
            <v>1644.7350000000001</v>
          </cell>
          <cell r="J16">
            <v>0</v>
          </cell>
          <cell r="L16">
            <v>-327</v>
          </cell>
          <cell r="M16">
            <v>58</v>
          </cell>
          <cell r="N16">
            <v>-11</v>
          </cell>
          <cell r="P16">
            <v>-79</v>
          </cell>
          <cell r="R16">
            <v>7.5001208333333338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I16">
            <v>9.6444019034722235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13.613039344625813</v>
          </cell>
        </row>
        <row r="18">
          <cell r="I18">
            <v>3733.87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P18">
            <v>-324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68.197400000000016</v>
          </cell>
        </row>
        <row r="19">
          <cell r="I19">
            <v>7709.89</v>
          </cell>
          <cell r="J19">
            <v>0</v>
          </cell>
          <cell r="L19">
            <v>-7592</v>
          </cell>
          <cell r="M19">
            <v>0</v>
          </cell>
          <cell r="N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2.3577999999999992</v>
          </cell>
        </row>
        <row r="20">
          <cell r="I20">
            <v>1727.9750000000001</v>
          </cell>
          <cell r="J20">
            <v>0</v>
          </cell>
          <cell r="L20">
            <v>-4</v>
          </cell>
          <cell r="M20">
            <v>13</v>
          </cell>
          <cell r="N20">
            <v>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34.7395</v>
          </cell>
        </row>
        <row r="21">
          <cell r="I21">
            <v>670.13900000000001</v>
          </cell>
          <cell r="J21">
            <v>0</v>
          </cell>
          <cell r="L21">
            <v>-119</v>
          </cell>
          <cell r="M21">
            <v>6</v>
          </cell>
          <cell r="N21">
            <v>-2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11.102780000000001</v>
          </cell>
        </row>
        <row r="22">
          <cell r="I22">
            <v>11886.371999999999</v>
          </cell>
          <cell r="J22">
            <v>0</v>
          </cell>
          <cell r="L22">
            <v>-390</v>
          </cell>
          <cell r="M22">
            <v>13</v>
          </cell>
          <cell r="N22">
            <v>-78</v>
          </cell>
          <cell r="P22">
            <v>-179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64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-100</v>
          </cell>
          <cell r="AT22">
            <v>358.82065</v>
          </cell>
        </row>
        <row r="23">
          <cell r="I23">
            <v>2373.8969999999999</v>
          </cell>
          <cell r="J23">
            <v>0</v>
          </cell>
          <cell r="L23">
            <v>-31</v>
          </cell>
          <cell r="M23">
            <v>1</v>
          </cell>
          <cell r="N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263.33333333333337</v>
          </cell>
          <cell r="AM23">
            <v>0</v>
          </cell>
          <cell r="AN23">
            <v>0</v>
          </cell>
          <cell r="AO23">
            <v>0</v>
          </cell>
          <cell r="AP23">
            <v>-79</v>
          </cell>
          <cell r="AQ23">
            <v>0</v>
          </cell>
          <cell r="AR23">
            <v>0</v>
          </cell>
          <cell r="AT23">
            <v>73.223939999999999</v>
          </cell>
        </row>
        <row r="24">
          <cell r="I24">
            <v>2427.5659999999998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P24">
            <v>-264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43.271319999999996</v>
          </cell>
        </row>
        <row r="25">
          <cell r="I25">
            <v>21290.7</v>
          </cell>
          <cell r="J25">
            <v>0</v>
          </cell>
          <cell r="L25">
            <v>-209</v>
          </cell>
          <cell r="M25">
            <v>0</v>
          </cell>
          <cell r="N25">
            <v>0</v>
          </cell>
          <cell r="P25">
            <v>-185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130</v>
          </cell>
          <cell r="AM25">
            <v>0</v>
          </cell>
          <cell r="AN25">
            <v>0</v>
          </cell>
          <cell r="AO25">
            <v>0</v>
          </cell>
          <cell r="AP25">
            <v>-305</v>
          </cell>
          <cell r="AQ25">
            <v>0</v>
          </cell>
          <cell r="AR25">
            <v>-200</v>
          </cell>
          <cell r="AT25">
            <v>813.25450000000012</v>
          </cell>
        </row>
        <row r="26">
          <cell r="I26">
            <v>5763.5</v>
          </cell>
          <cell r="J26">
            <v>0</v>
          </cell>
          <cell r="L26">
            <v>-3</v>
          </cell>
          <cell r="M26">
            <v>0</v>
          </cell>
          <cell r="N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-260</v>
          </cell>
          <cell r="AQ26">
            <v>0</v>
          </cell>
          <cell r="AR26">
            <v>0</v>
          </cell>
          <cell r="AT26">
            <v>586.221</v>
          </cell>
        </row>
        <row r="27">
          <cell r="I27">
            <v>280.60000000000002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F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5.6120000000000001</v>
          </cell>
        </row>
        <row r="28">
          <cell r="I28">
            <v>1351.1129999999998</v>
          </cell>
          <cell r="J28">
            <v>0</v>
          </cell>
          <cell r="L28">
            <v>-102</v>
          </cell>
          <cell r="M28">
            <v>9</v>
          </cell>
          <cell r="N28">
            <v>-18</v>
          </cell>
          <cell r="P28">
            <v>-17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24.462260000000001</v>
          </cell>
        </row>
        <row r="29">
          <cell r="I29">
            <v>11003.861000000001</v>
          </cell>
          <cell r="J29">
            <v>0</v>
          </cell>
          <cell r="L29">
            <v>-665</v>
          </cell>
          <cell r="M29">
            <v>72</v>
          </cell>
          <cell r="N29">
            <v>0</v>
          </cell>
          <cell r="P29">
            <v>280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-225</v>
          </cell>
          <cell r="AT29">
            <v>447.94385000000005</v>
          </cell>
        </row>
        <row r="30">
          <cell r="I30">
            <v>13921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P30">
            <v>320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50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-700</v>
          </cell>
          <cell r="AT30">
            <v>176.68300000000002</v>
          </cell>
        </row>
        <row r="31">
          <cell r="I31">
            <v>2759.252</v>
          </cell>
          <cell r="J31">
            <v>0</v>
          </cell>
          <cell r="L31">
            <v>-819</v>
          </cell>
          <cell r="M31">
            <v>47</v>
          </cell>
          <cell r="N31">
            <v>-3</v>
          </cell>
          <cell r="P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50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26.357039999999998</v>
          </cell>
        </row>
        <row r="32">
          <cell r="I32">
            <v>2163.7350000000001</v>
          </cell>
          <cell r="J32">
            <v>0</v>
          </cell>
          <cell r="L32">
            <v>-110</v>
          </cell>
          <cell r="M32">
            <v>11</v>
          </cell>
          <cell r="N32">
            <v>-23</v>
          </cell>
          <cell r="P32">
            <v>-24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67</v>
          </cell>
          <cell r="AM32">
            <v>0</v>
          </cell>
          <cell r="AN32">
            <v>0</v>
          </cell>
          <cell r="AO32">
            <v>0</v>
          </cell>
          <cell r="AP32">
            <v>50</v>
          </cell>
          <cell r="AQ32">
            <v>0</v>
          </cell>
          <cell r="AR32">
            <v>-942</v>
          </cell>
          <cell r="AT32">
            <v>23.854700000000001</v>
          </cell>
        </row>
        <row r="33">
          <cell r="I33">
            <v>619.91799999999989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P33">
            <v>-100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F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13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10.658359999999998</v>
          </cell>
        </row>
        <row r="34">
          <cell r="I34">
            <v>172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3.44</v>
          </cell>
        </row>
        <row r="35">
          <cell r="I35">
            <v>1045.675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20.913499999999999</v>
          </cell>
        </row>
        <row r="36">
          <cell r="I36">
            <v>2402.192</v>
          </cell>
          <cell r="J36">
            <v>400</v>
          </cell>
          <cell r="L36">
            <v>-22</v>
          </cell>
          <cell r="M36">
            <v>40</v>
          </cell>
          <cell r="N36">
            <v>-16</v>
          </cell>
          <cell r="P36">
            <v>-305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200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53.983840000000001</v>
          </cell>
        </row>
        <row r="37">
          <cell r="I37">
            <v>1643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24.645</v>
          </cell>
        </row>
        <row r="38">
          <cell r="I38">
            <v>232.62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-114</v>
          </cell>
          <cell r="AQ38">
            <v>0</v>
          </cell>
          <cell r="AR38">
            <v>0</v>
          </cell>
          <cell r="AT38">
            <v>3.0655000000000001</v>
          </cell>
        </row>
        <row r="39">
          <cell r="I39">
            <v>2955.598</v>
          </cell>
          <cell r="J39">
            <v>0</v>
          </cell>
          <cell r="L39">
            <v>-1567</v>
          </cell>
          <cell r="M39">
            <v>0</v>
          </cell>
          <cell r="N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13.88598</v>
          </cell>
        </row>
        <row r="40">
          <cell r="I40">
            <v>1008.4630000000001</v>
          </cell>
          <cell r="J40">
            <v>0</v>
          </cell>
          <cell r="L40">
            <v>-51</v>
          </cell>
          <cell r="M40">
            <v>4</v>
          </cell>
          <cell r="N40">
            <v>-30</v>
          </cell>
          <cell r="P40">
            <v>-88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T40">
            <v>16.869260000000001</v>
          </cell>
        </row>
        <row r="41">
          <cell r="I41">
            <v>1957.377</v>
          </cell>
          <cell r="J41">
            <v>0</v>
          </cell>
          <cell r="L41">
            <v>-76</v>
          </cell>
          <cell r="M41">
            <v>15</v>
          </cell>
          <cell r="N41">
            <v>-20</v>
          </cell>
          <cell r="P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0</v>
          </cell>
          <cell r="AI41">
            <v>0</v>
          </cell>
          <cell r="AJ41">
            <v>0</v>
          </cell>
          <cell r="AL41">
            <v>200</v>
          </cell>
          <cell r="AM41">
            <v>0</v>
          </cell>
          <cell r="AN41">
            <v>0</v>
          </cell>
          <cell r="AO41">
            <v>0</v>
          </cell>
          <cell r="AT41">
            <v>41.527540000000009</v>
          </cell>
        </row>
        <row r="42">
          <cell r="I42">
            <v>-14495.097</v>
          </cell>
          <cell r="J42">
            <v>0</v>
          </cell>
          <cell r="L42">
            <v>12382</v>
          </cell>
          <cell r="M42">
            <v>-792</v>
          </cell>
          <cell r="N42">
            <v>0</v>
          </cell>
          <cell r="P42">
            <v>-349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-1098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-66</v>
          </cell>
          <cell r="AQ42">
            <v>0</v>
          </cell>
          <cell r="AR42">
            <v>0</v>
          </cell>
          <cell r="AT42">
            <v>-75.820200000000014</v>
          </cell>
        </row>
        <row r="43">
          <cell r="I43">
            <v>-66037.01350999999</v>
          </cell>
          <cell r="J43">
            <v>0</v>
          </cell>
          <cell r="L43">
            <v>15963</v>
          </cell>
          <cell r="M43">
            <v>-1101</v>
          </cell>
          <cell r="N43">
            <v>33</v>
          </cell>
          <cell r="P43">
            <v>-73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1098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587</v>
          </cell>
          <cell r="AM43">
            <v>0</v>
          </cell>
          <cell r="AN43">
            <v>0</v>
          </cell>
          <cell r="AO43">
            <v>0</v>
          </cell>
          <cell r="AP43">
            <v>-84</v>
          </cell>
          <cell r="AQ43">
            <v>0</v>
          </cell>
          <cell r="AR43">
            <v>-1400</v>
          </cell>
          <cell r="AT43">
            <v>-337.63965816666672</v>
          </cell>
        </row>
        <row r="46">
          <cell r="J46">
            <v>-3131</v>
          </cell>
          <cell r="L46">
            <v>2.8213318717462244E-2</v>
          </cell>
          <cell r="M46">
            <v>0</v>
          </cell>
          <cell r="N46">
            <v>-957</v>
          </cell>
          <cell r="P46">
            <v>-2585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0</v>
          </cell>
          <cell r="AI46">
            <v>1327.6187149242103</v>
          </cell>
          <cell r="AJ46">
            <v>6585</v>
          </cell>
          <cell r="AL46">
            <v>4254.3333333333339</v>
          </cell>
          <cell r="AM46">
            <v>2834</v>
          </cell>
          <cell r="AN46">
            <v>600</v>
          </cell>
          <cell r="AO46">
            <v>0</v>
          </cell>
          <cell r="AT46">
            <v>5073.3669577699447</v>
          </cell>
        </row>
        <row r="52">
          <cell r="I52">
            <v>8694</v>
          </cell>
          <cell r="J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-850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150.63216666666671</v>
          </cell>
        </row>
        <row r="55">
          <cell r="I55">
            <v>8647</v>
          </cell>
          <cell r="J55">
            <v>-44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-710</v>
          </cell>
          <cell r="AT55">
            <v>0</v>
          </cell>
        </row>
        <row r="56">
          <cell r="I56">
            <v>500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679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</row>
        <row r="57">
          <cell r="I57">
            <v>208</v>
          </cell>
          <cell r="J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4.16</v>
          </cell>
        </row>
        <row r="58">
          <cell r="I58">
            <v>1765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76.309999999999988</v>
          </cell>
        </row>
        <row r="59">
          <cell r="I59">
            <v>138</v>
          </cell>
          <cell r="J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2.7600000000000002</v>
          </cell>
        </row>
        <row r="60">
          <cell r="I60">
            <v>821</v>
          </cell>
          <cell r="J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16.420000000000002</v>
          </cell>
        </row>
        <row r="61">
          <cell r="I61">
            <v>134</v>
          </cell>
          <cell r="J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2.68</v>
          </cell>
        </row>
        <row r="63">
          <cell r="I63">
            <v>5917.2005100000015</v>
          </cell>
          <cell r="J63">
            <v>806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R63">
            <v>-1954.308665160971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48</v>
          </cell>
          <cell r="AM63">
            <v>1759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15.21902</v>
          </cell>
        </row>
        <row r="64">
          <cell r="I64">
            <v>2491</v>
          </cell>
          <cell r="J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249.10000000000002</v>
          </cell>
        </row>
        <row r="65">
          <cell r="I65">
            <v>-2822</v>
          </cell>
          <cell r="J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240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</row>
        <row r="66">
          <cell r="I66">
            <v>-4449</v>
          </cell>
          <cell r="J66">
            <v>-121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-410</v>
          </cell>
          <cell r="AT66">
            <v>-35.350000000000009</v>
          </cell>
        </row>
        <row r="73"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1166.625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I74">
            <v>5.99999999999552E-2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P74">
            <v>-40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I74">
            <v>0</v>
          </cell>
          <cell r="AJ74">
            <v>0</v>
          </cell>
          <cell r="AK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</row>
        <row r="75">
          <cell r="I75">
            <v>1688.8719999999998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D75" t="str">
            <v xml:space="preserve"> </v>
          </cell>
          <cell r="AE75">
            <v>0</v>
          </cell>
          <cell r="AF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-77</v>
          </cell>
        </row>
        <row r="76">
          <cell r="I76">
            <v>5292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R76">
            <v>0</v>
          </cell>
          <cell r="S76">
            <v>0</v>
          </cell>
          <cell r="Z76">
            <v>0</v>
          </cell>
          <cell r="AA76">
            <v>0</v>
          </cell>
          <cell r="AB76">
            <v>0</v>
          </cell>
          <cell r="AI76">
            <v>0</v>
          </cell>
          <cell r="AK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</row>
        <row r="78">
          <cell r="AD78">
            <v>0</v>
          </cell>
          <cell r="AE78">
            <v>0</v>
          </cell>
          <cell r="AF78">
            <v>0</v>
          </cell>
          <cell r="AJ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</row>
      </sheetData>
      <sheetData sheetId="7" refreshError="1">
        <row r="515">
          <cell r="G515">
            <v>380</v>
          </cell>
        </row>
        <row r="517">
          <cell r="G517">
            <v>374</v>
          </cell>
          <cell r="H517">
            <v>169</v>
          </cell>
          <cell r="I517">
            <v>178</v>
          </cell>
        </row>
        <row r="525">
          <cell r="G525">
            <v>680</v>
          </cell>
        </row>
      </sheetData>
      <sheetData sheetId="8" refreshError="1">
        <row r="56">
          <cell r="J56">
            <v>825</v>
          </cell>
          <cell r="AM56">
            <v>1759</v>
          </cell>
        </row>
        <row r="64">
          <cell r="AR64">
            <v>-496</v>
          </cell>
        </row>
        <row r="67">
          <cell r="AR67">
            <v>-214</v>
          </cell>
        </row>
        <row r="69">
          <cell r="AL69">
            <v>679</v>
          </cell>
        </row>
        <row r="99">
          <cell r="AR99">
            <v>-110</v>
          </cell>
        </row>
        <row r="102">
          <cell r="AL102">
            <v>240</v>
          </cell>
        </row>
        <row r="112">
          <cell r="AM112">
            <v>-850</v>
          </cell>
        </row>
        <row r="120">
          <cell r="AR120">
            <v>-1120</v>
          </cell>
        </row>
      </sheetData>
      <sheetData sheetId="9" refreshError="1"/>
      <sheetData sheetId="10" refreshError="1">
        <row r="18">
          <cell r="C18">
            <v>37216</v>
          </cell>
        </row>
        <row r="29">
          <cell r="H29">
            <v>-500</v>
          </cell>
        </row>
        <row r="39">
          <cell r="H39">
            <v>-7171</v>
          </cell>
        </row>
        <row r="40">
          <cell r="H40">
            <v>-5862.0833333333339</v>
          </cell>
        </row>
        <row r="44">
          <cell r="I44">
            <v>-11657.48</v>
          </cell>
          <cell r="J44">
            <v>-13411.8506</v>
          </cell>
          <cell r="K44">
            <v>-13474.643714000002</v>
          </cell>
        </row>
        <row r="51">
          <cell r="H51">
            <v>-1725</v>
          </cell>
        </row>
        <row r="52">
          <cell r="H52">
            <v>-1769.6</v>
          </cell>
        </row>
        <row r="56">
          <cell r="I56">
            <v>-3535.2375000000002</v>
          </cell>
          <cell r="J56">
            <v>-3540.2015000000001</v>
          </cell>
          <cell r="K56">
            <v>-3575.69277375</v>
          </cell>
        </row>
        <row r="60">
          <cell r="H60">
            <v>-880.46749999999997</v>
          </cell>
        </row>
        <row r="61">
          <cell r="H61">
            <v>-880.46750000000009</v>
          </cell>
        </row>
        <row r="65">
          <cell r="I65">
            <v>-6935.6430000000009</v>
          </cell>
          <cell r="J65">
            <v>0</v>
          </cell>
          <cell r="K65">
            <v>0</v>
          </cell>
        </row>
        <row r="77">
          <cell r="G77">
            <v>870.24383333333333</v>
          </cell>
        </row>
        <row r="82">
          <cell r="H82">
            <v>1541.0329179166665</v>
          </cell>
          <cell r="I82">
            <v>3541.8325243375002</v>
          </cell>
          <cell r="J82">
            <v>7004.2652297098739</v>
          </cell>
          <cell r="K82">
            <v>8104.6700409470441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>
        <row r="96">
          <cell r="T96">
            <v>15770.3</v>
          </cell>
        </row>
        <row r="99">
          <cell r="B99">
            <v>419253.44051458157</v>
          </cell>
        </row>
        <row r="101">
          <cell r="B101">
            <v>0</v>
          </cell>
        </row>
        <row r="102">
          <cell r="B102">
            <v>574</v>
          </cell>
        </row>
      </sheetData>
      <sheetData sheetId="16" refreshError="1"/>
      <sheetData sheetId="17" refreshError="1"/>
      <sheetData sheetId="18" refreshError="1">
        <row r="27">
          <cell r="H27">
            <v>-1094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>
        <row r="64">
          <cell r="G64">
            <v>335549</v>
          </cell>
          <cell r="H64">
            <v>319256</v>
          </cell>
          <cell r="I64">
            <v>307347.984</v>
          </cell>
          <cell r="J64">
            <v>297975.79251200001</v>
          </cell>
          <cell r="K64">
            <v>288903.511151616</v>
          </cell>
          <cell r="L64">
            <v>280121.54279476427</v>
          </cell>
        </row>
        <row r="66">
          <cell r="G66">
            <v>82390.808313612957</v>
          </cell>
          <cell r="H66">
            <v>85323.627746154001</v>
          </cell>
          <cell r="I66">
            <v>87030.10030107708</v>
          </cell>
          <cell r="J66">
            <v>88770.702307098618</v>
          </cell>
          <cell r="K66">
            <v>90546.116353240592</v>
          </cell>
          <cell r="L66">
            <v>92357.038680305399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B"/>
      <sheetName val="Appendix C"/>
      <sheetName val="Changes made in Feb 15 MTFF"/>
      <sheetName val="Movement Statement  "/>
    </sheetNames>
    <sheetDataSet>
      <sheetData sheetId="0" refreshError="1">
        <row r="82">
          <cell r="F82">
            <v>6600.64905</v>
          </cell>
          <cell r="G82">
            <v>10304.892883333334</v>
          </cell>
        </row>
      </sheetData>
      <sheetData sheetId="1" refreshError="1">
        <row r="13">
          <cell r="Z13">
            <v>2319.7977419771441</v>
          </cell>
        </row>
        <row r="14">
          <cell r="Z14">
            <v>1.3035211155609128</v>
          </cell>
        </row>
        <row r="15">
          <cell r="Z15">
            <v>1519.377591518296</v>
          </cell>
        </row>
        <row r="16">
          <cell r="Z16">
            <v>65.618515001721647</v>
          </cell>
        </row>
        <row r="17">
          <cell r="Z17">
            <v>23.257441248098036</v>
          </cell>
        </row>
        <row r="46">
          <cell r="Z46">
            <v>2471.6308618333328</v>
          </cell>
        </row>
        <row r="68">
          <cell r="Z68">
            <v>481.93118666666669</v>
          </cell>
        </row>
        <row r="87">
          <cell r="Z87">
            <v>58</v>
          </cell>
        </row>
        <row r="97">
          <cell r="V97">
            <v>-15770</v>
          </cell>
        </row>
        <row r="104">
          <cell r="AB104">
            <v>319256.41200000001</v>
          </cell>
        </row>
        <row r="105">
          <cell r="AB105">
            <v>749</v>
          </cell>
        </row>
        <row r="113">
          <cell r="AB113">
            <v>85323.819432541044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L1" workbookViewId="0">
      <selection activeCell="V2" sqref="V2"/>
    </sheetView>
  </sheetViews>
  <sheetFormatPr defaultRowHeight="15" x14ac:dyDescent="0.25"/>
  <cols>
    <col min="1" max="1" width="0" style="78" hidden="1" customWidth="1"/>
    <col min="2" max="2" width="51.85546875" style="78" customWidth="1"/>
    <col min="3" max="3" width="9.42578125" style="76" customWidth="1"/>
    <col min="4" max="4" width="10.28515625" style="77" bestFit="1" customWidth="1"/>
    <col min="5" max="6" width="14.85546875" style="78" bestFit="1" customWidth="1"/>
    <col min="7" max="7" width="8.5703125" style="78" customWidth="1"/>
    <col min="8" max="8" width="11.140625" style="78" customWidth="1"/>
    <col min="9" max="17" width="9.140625" style="78"/>
    <col min="18" max="18" width="8.28515625" style="78" customWidth="1"/>
    <col min="19" max="16384" width="9.140625" style="78"/>
  </cols>
  <sheetData>
    <row r="1" spans="1:23" x14ac:dyDescent="0.25">
      <c r="A1" s="74"/>
      <c r="B1" s="75" t="s">
        <v>108</v>
      </c>
      <c r="V1" s="78" t="s">
        <v>141</v>
      </c>
    </row>
    <row r="2" spans="1:23" x14ac:dyDescent="0.25">
      <c r="A2" s="74"/>
      <c r="B2" s="74"/>
    </row>
    <row r="3" spans="1:23" s="79" customFormat="1" ht="22.5" x14ac:dyDescent="0.2">
      <c r="C3" s="80" t="s">
        <v>109</v>
      </c>
      <c r="D3" s="81" t="s">
        <v>110</v>
      </c>
      <c r="E3" s="80" t="s">
        <v>111</v>
      </c>
      <c r="F3" s="81" t="s">
        <v>112</v>
      </c>
      <c r="G3" s="81" t="s">
        <v>113</v>
      </c>
      <c r="H3" s="80" t="s">
        <v>114</v>
      </c>
      <c r="I3" s="81" t="s">
        <v>112</v>
      </c>
      <c r="J3" s="81" t="s">
        <v>113</v>
      </c>
      <c r="K3" s="80" t="s">
        <v>115</v>
      </c>
      <c r="L3" s="81" t="s">
        <v>112</v>
      </c>
      <c r="M3" s="81" t="s">
        <v>113</v>
      </c>
      <c r="N3" s="80" t="s">
        <v>116</v>
      </c>
      <c r="O3" s="81" t="s">
        <v>112</v>
      </c>
      <c r="P3" s="81" t="s">
        <v>113</v>
      </c>
      <c r="Q3" s="80" t="s">
        <v>117</v>
      </c>
      <c r="R3" s="81" t="s">
        <v>112</v>
      </c>
      <c r="S3" s="81" t="s">
        <v>113</v>
      </c>
      <c r="T3" s="80" t="s">
        <v>118</v>
      </c>
      <c r="U3" s="81" t="s">
        <v>112</v>
      </c>
      <c r="V3" s="81" t="s">
        <v>113</v>
      </c>
      <c r="W3" s="80" t="s">
        <v>119</v>
      </c>
    </row>
    <row r="4" spans="1:23" s="79" customFormat="1" ht="11.25" x14ac:dyDescent="0.2">
      <c r="C4" s="82" t="s">
        <v>1</v>
      </c>
      <c r="D4" s="83" t="s">
        <v>1</v>
      </c>
      <c r="E4" s="82" t="s">
        <v>1</v>
      </c>
      <c r="F4" s="83" t="s">
        <v>1</v>
      </c>
      <c r="G4" s="84" t="s">
        <v>1</v>
      </c>
      <c r="H4" s="82" t="s">
        <v>1</v>
      </c>
      <c r="I4" s="83" t="s">
        <v>1</v>
      </c>
      <c r="J4" s="83" t="s">
        <v>1</v>
      </c>
      <c r="K4" s="82" t="s">
        <v>1</v>
      </c>
      <c r="L4" s="83" t="s">
        <v>1</v>
      </c>
      <c r="M4" s="83" t="s">
        <v>1</v>
      </c>
      <c r="N4" s="82" t="s">
        <v>1</v>
      </c>
      <c r="O4" s="83" t="s">
        <v>1</v>
      </c>
      <c r="P4" s="83" t="s">
        <v>1</v>
      </c>
      <c r="Q4" s="82" t="s">
        <v>1</v>
      </c>
      <c r="R4" s="83" t="s">
        <v>1</v>
      </c>
      <c r="S4" s="83" t="s">
        <v>1</v>
      </c>
      <c r="T4" s="82" t="s">
        <v>1</v>
      </c>
      <c r="U4" s="83" t="s">
        <v>1</v>
      </c>
      <c r="V4" s="83" t="s">
        <v>1</v>
      </c>
      <c r="W4" s="82" t="s">
        <v>1</v>
      </c>
    </row>
    <row r="5" spans="1:23" s="85" customFormat="1" ht="11.25" x14ac:dyDescent="0.2">
      <c r="A5" s="85">
        <v>1</v>
      </c>
      <c r="B5" s="86" t="s">
        <v>120</v>
      </c>
      <c r="C5" s="87">
        <v>20463.275999999903</v>
      </c>
      <c r="D5" s="88">
        <f>-10136+-8692</f>
        <v>-18828</v>
      </c>
      <c r="E5" s="87">
        <f>SUM(C5:D5)</f>
        <v>1635.2759999999034</v>
      </c>
      <c r="F5" s="89">
        <f>15770+4000</f>
        <v>19770</v>
      </c>
      <c r="G5" s="90">
        <v>0</v>
      </c>
      <c r="H5" s="87">
        <f>SUM(E5:G5)</f>
        <v>21405.275999999903</v>
      </c>
      <c r="I5" s="90"/>
      <c r="J5" s="90">
        <v>-2500</v>
      </c>
      <c r="K5" s="87">
        <f>SUM(H5:J5)</f>
        <v>18905.275999999903</v>
      </c>
      <c r="L5" s="90"/>
      <c r="M5" s="90">
        <v>-10000</v>
      </c>
      <c r="N5" s="87">
        <f>SUM(K5:M5)</f>
        <v>8905.2759999999034</v>
      </c>
      <c r="O5" s="90"/>
      <c r="P5" s="90">
        <v>-8688</v>
      </c>
      <c r="Q5" s="87">
        <f>SUM(N5:P5)</f>
        <v>217.27599999990343</v>
      </c>
      <c r="R5" s="90"/>
      <c r="S5" s="90"/>
      <c r="T5" s="87">
        <f>SUM(Q5:S5)</f>
        <v>217.27599999990343</v>
      </c>
      <c r="U5" s="90"/>
      <c r="V5" s="90"/>
      <c r="W5" s="87">
        <f>SUM(T5:V5)</f>
        <v>217.27599999990343</v>
      </c>
    </row>
    <row r="6" spans="1:23" s="96" customFormat="1" ht="11.25" x14ac:dyDescent="0.2">
      <c r="A6" s="85">
        <v>2</v>
      </c>
      <c r="B6" s="91" t="s">
        <v>121</v>
      </c>
      <c r="C6" s="92"/>
      <c r="D6" s="93">
        <v>8692</v>
      </c>
      <c r="E6" s="92">
        <f>SUM(C6:D6)</f>
        <v>8692</v>
      </c>
      <c r="F6" s="94"/>
      <c r="G6" s="95"/>
      <c r="H6" s="92">
        <f>SUM(E6:G6)</f>
        <v>8692</v>
      </c>
      <c r="I6" s="95"/>
      <c r="J6" s="95"/>
      <c r="K6" s="92">
        <f>SUM(H6:J6)</f>
        <v>8692</v>
      </c>
      <c r="L6" s="95"/>
      <c r="M6" s="95"/>
      <c r="N6" s="92">
        <f>SUM(K6:M6)</f>
        <v>8692</v>
      </c>
      <c r="O6" s="95"/>
      <c r="P6" s="95"/>
      <c r="Q6" s="92">
        <f>SUM(N6:P6)</f>
        <v>8692</v>
      </c>
      <c r="R6" s="95"/>
      <c r="S6" s="95"/>
      <c r="T6" s="92">
        <f>SUM(Q6:S6)</f>
        <v>8692</v>
      </c>
      <c r="U6" s="95"/>
      <c r="V6" s="95"/>
      <c r="W6" s="92">
        <f>SUM(T6:V6)</f>
        <v>8692</v>
      </c>
    </row>
    <row r="7" spans="1:23" s="96" customFormat="1" ht="11.25" x14ac:dyDescent="0.2">
      <c r="A7" s="85">
        <v>3</v>
      </c>
      <c r="B7" s="91" t="s">
        <v>122</v>
      </c>
      <c r="C7" s="92">
        <v>1358</v>
      </c>
      <c r="D7" s="97"/>
      <c r="E7" s="92">
        <f>SUM(C7:D7)</f>
        <v>1358</v>
      </c>
      <c r="F7" s="94"/>
      <c r="G7" s="95">
        <v>-1358</v>
      </c>
      <c r="H7" s="92">
        <f>SUM(E7:G7)</f>
        <v>0</v>
      </c>
      <c r="I7" s="95"/>
      <c r="J7" s="95"/>
      <c r="K7" s="92">
        <f>SUM(H7:J7)</f>
        <v>0</v>
      </c>
      <c r="L7" s="95"/>
      <c r="M7" s="95"/>
      <c r="N7" s="92">
        <f>SUM(K7:M7)</f>
        <v>0</v>
      </c>
      <c r="O7" s="95"/>
      <c r="P7" s="95"/>
      <c r="Q7" s="92">
        <f>SUM(N7:P7)</f>
        <v>0</v>
      </c>
      <c r="R7" s="95"/>
      <c r="S7" s="95"/>
      <c r="T7" s="92">
        <f>SUM(Q7:S7)</f>
        <v>0</v>
      </c>
      <c r="U7" s="95"/>
      <c r="V7" s="95"/>
      <c r="W7" s="92">
        <f>SUM(T7:V7)</f>
        <v>0</v>
      </c>
    </row>
    <row r="8" spans="1:23" s="96" customFormat="1" ht="11.25" x14ac:dyDescent="0.2">
      <c r="A8" s="85">
        <v>4</v>
      </c>
      <c r="B8" s="91" t="s">
        <v>123</v>
      </c>
      <c r="C8" s="92">
        <v>4100</v>
      </c>
      <c r="D8" s="97"/>
      <c r="E8" s="92">
        <v>4100</v>
      </c>
      <c r="F8" s="94">
        <v>2297</v>
      </c>
      <c r="G8" s="95">
        <v>-4589</v>
      </c>
      <c r="H8" s="92">
        <f>SUM(E8:G8)</f>
        <v>1808</v>
      </c>
      <c r="I8" s="95">
        <v>322</v>
      </c>
      <c r="J8" s="95">
        <v>-2130</v>
      </c>
      <c r="K8" s="92">
        <f>SUM(H8:J8)</f>
        <v>0</v>
      </c>
      <c r="L8" s="95">
        <v>8313</v>
      </c>
      <c r="M8" s="95">
        <v>-8313</v>
      </c>
      <c r="N8" s="92">
        <f>SUM(K8:M8)</f>
        <v>0</v>
      </c>
      <c r="O8" s="95">
        <v>2573</v>
      </c>
      <c r="P8" s="95">
        <v>-2573</v>
      </c>
      <c r="Q8" s="92">
        <f>SUM(N8:P8)</f>
        <v>0</v>
      </c>
      <c r="R8" s="95">
        <v>1260</v>
      </c>
      <c r="S8" s="95">
        <v>-1260</v>
      </c>
      <c r="T8" s="92">
        <f>SUM(Q8:S8)</f>
        <v>0</v>
      </c>
      <c r="U8" s="95"/>
      <c r="V8" s="95"/>
      <c r="W8" s="92"/>
    </row>
    <row r="9" spans="1:23" s="96" customFormat="1" ht="11.25" x14ac:dyDescent="0.2">
      <c r="A9" s="85"/>
      <c r="B9" s="98" t="s">
        <v>124</v>
      </c>
      <c r="C9" s="92"/>
      <c r="D9" s="97"/>
      <c r="E9" s="92">
        <f t="shared" ref="E9:E23" si="0">SUM(C9:D9)</f>
        <v>0</v>
      </c>
      <c r="F9" s="94"/>
      <c r="G9" s="95"/>
      <c r="H9" s="92"/>
      <c r="I9" s="95"/>
      <c r="J9" s="95"/>
      <c r="K9" s="92">
        <f t="shared" ref="K9:K23" si="1">SUM(H9:J9)</f>
        <v>0</v>
      </c>
      <c r="L9" s="95"/>
      <c r="M9" s="95"/>
      <c r="N9" s="92">
        <f t="shared" ref="N9:N23" si="2">SUM(K9:M9)</f>
        <v>0</v>
      </c>
      <c r="O9" s="95"/>
      <c r="P9" s="95"/>
      <c r="Q9" s="92">
        <f t="shared" ref="Q9:Q23" si="3">SUM(N9:P9)</f>
        <v>0</v>
      </c>
      <c r="R9" s="95"/>
      <c r="S9" s="95"/>
      <c r="T9" s="92">
        <f t="shared" ref="T9:T23" si="4">SUM(Q9:S9)</f>
        <v>0</v>
      </c>
      <c r="U9" s="95"/>
      <c r="V9" s="95"/>
      <c r="W9" s="92">
        <f t="shared" ref="W9:W23" si="5">SUM(T9:V9)</f>
        <v>0</v>
      </c>
    </row>
    <row r="10" spans="1:23" s="96" customFormat="1" ht="11.25" x14ac:dyDescent="0.2">
      <c r="A10" s="85">
        <v>5</v>
      </c>
      <c r="B10" s="91" t="s">
        <v>125</v>
      </c>
      <c r="C10" s="92">
        <v>3499</v>
      </c>
      <c r="D10" s="97">
        <v>701</v>
      </c>
      <c r="E10" s="92">
        <f t="shared" si="0"/>
        <v>4200</v>
      </c>
      <c r="F10" s="94"/>
      <c r="G10" s="95">
        <v>-4200</v>
      </c>
      <c r="H10" s="92">
        <f t="shared" ref="H10:H23" si="6">SUM(E10:G10)</f>
        <v>0</v>
      </c>
      <c r="I10" s="95">
        <v>2500</v>
      </c>
      <c r="J10" s="95">
        <v>-2500</v>
      </c>
      <c r="K10" s="92">
        <f t="shared" si="1"/>
        <v>0</v>
      </c>
      <c r="L10" s="95"/>
      <c r="M10" s="95"/>
      <c r="N10" s="92">
        <f t="shared" si="2"/>
        <v>0</v>
      </c>
      <c r="O10" s="95"/>
      <c r="P10" s="95"/>
      <c r="Q10" s="92">
        <f t="shared" si="3"/>
        <v>0</v>
      </c>
      <c r="R10" s="95"/>
      <c r="S10" s="95"/>
      <c r="T10" s="92">
        <f t="shared" si="4"/>
        <v>0</v>
      </c>
      <c r="U10" s="95"/>
      <c r="V10" s="95"/>
      <c r="W10" s="92">
        <f t="shared" si="5"/>
        <v>0</v>
      </c>
    </row>
    <row r="11" spans="1:23" s="96" customFormat="1" ht="11.25" x14ac:dyDescent="0.2">
      <c r="A11" s="85">
        <v>6</v>
      </c>
      <c r="B11" s="91" t="s">
        <v>126</v>
      </c>
      <c r="C11" s="92">
        <v>3296.4527499999999</v>
      </c>
      <c r="D11" s="97"/>
      <c r="E11" s="92">
        <f t="shared" si="0"/>
        <v>3296.4527499999999</v>
      </c>
      <c r="F11" s="94">
        <v>360</v>
      </c>
      <c r="G11" s="95">
        <v>-555</v>
      </c>
      <c r="H11" s="92">
        <f t="shared" si="6"/>
        <v>3101.4527499999999</v>
      </c>
      <c r="I11" s="95">
        <v>300</v>
      </c>
      <c r="J11" s="95">
        <v>-900</v>
      </c>
      <c r="K11" s="92">
        <f t="shared" si="1"/>
        <v>2501.4527499999999</v>
      </c>
      <c r="L11" s="95">
        <v>200</v>
      </c>
      <c r="M11" s="95">
        <v>-265</v>
      </c>
      <c r="N11" s="92">
        <f t="shared" si="2"/>
        <v>2436.4527499999999</v>
      </c>
      <c r="O11" s="95">
        <v>200</v>
      </c>
      <c r="P11" s="95">
        <v>-105</v>
      </c>
      <c r="Q11" s="92">
        <f t="shared" si="3"/>
        <v>2531.4527499999999</v>
      </c>
      <c r="R11" s="95">
        <v>200</v>
      </c>
      <c r="S11" s="95">
        <v>-600</v>
      </c>
      <c r="T11" s="92">
        <f t="shared" si="4"/>
        <v>2131.4527499999999</v>
      </c>
      <c r="U11" s="95">
        <v>200</v>
      </c>
      <c r="V11" s="95">
        <v>-105</v>
      </c>
      <c r="W11" s="92">
        <f t="shared" si="5"/>
        <v>2226.4527499999999</v>
      </c>
    </row>
    <row r="12" spans="1:23" s="96" customFormat="1" ht="11.25" x14ac:dyDescent="0.2">
      <c r="A12" s="85">
        <v>7</v>
      </c>
      <c r="B12" s="91" t="s">
        <v>127</v>
      </c>
      <c r="C12" s="92">
        <v>7071.835</v>
      </c>
      <c r="D12" s="97"/>
      <c r="E12" s="92">
        <f t="shared" si="0"/>
        <v>7071.835</v>
      </c>
      <c r="F12" s="94">
        <v>576</v>
      </c>
      <c r="G12" s="95">
        <v>-400</v>
      </c>
      <c r="H12" s="92">
        <f t="shared" si="6"/>
        <v>7247.835</v>
      </c>
      <c r="I12" s="95">
        <v>510</v>
      </c>
      <c r="J12" s="95">
        <v>-259</v>
      </c>
      <c r="K12" s="92">
        <f t="shared" si="1"/>
        <v>7498.835</v>
      </c>
      <c r="L12" s="95">
        <v>439</v>
      </c>
      <c r="M12" s="95"/>
      <c r="N12" s="92">
        <f t="shared" si="2"/>
        <v>7937.835</v>
      </c>
      <c r="O12" s="95">
        <v>362</v>
      </c>
      <c r="P12" s="95"/>
      <c r="Q12" s="92">
        <f t="shared" si="3"/>
        <v>8299.8349999999991</v>
      </c>
      <c r="R12" s="95">
        <v>1070</v>
      </c>
      <c r="S12" s="95"/>
      <c r="T12" s="92">
        <f t="shared" si="4"/>
        <v>9369.8349999999991</v>
      </c>
      <c r="U12" s="95">
        <v>900</v>
      </c>
      <c r="V12" s="95"/>
      <c r="W12" s="92">
        <f t="shared" si="5"/>
        <v>10269.834999999999</v>
      </c>
    </row>
    <row r="13" spans="1:23" s="96" customFormat="1" ht="11.25" x14ac:dyDescent="0.2">
      <c r="A13" s="96">
        <v>8</v>
      </c>
      <c r="B13" s="91" t="s">
        <v>128</v>
      </c>
      <c r="C13" s="92">
        <v>0.32000000000005002</v>
      </c>
      <c r="D13" s="97"/>
      <c r="E13" s="92">
        <f t="shared" si="0"/>
        <v>0.32000000000005002</v>
      </c>
      <c r="F13" s="94"/>
      <c r="G13" s="95"/>
      <c r="H13" s="92">
        <f t="shared" si="6"/>
        <v>0.32000000000005002</v>
      </c>
      <c r="I13" s="95"/>
      <c r="J13" s="95"/>
      <c r="K13" s="92">
        <f t="shared" si="1"/>
        <v>0.32000000000005002</v>
      </c>
      <c r="L13" s="95"/>
      <c r="M13" s="95"/>
      <c r="N13" s="92">
        <f t="shared" si="2"/>
        <v>0.32000000000005002</v>
      </c>
      <c r="O13" s="95"/>
      <c r="P13" s="95"/>
      <c r="Q13" s="92">
        <f t="shared" si="3"/>
        <v>0.32000000000005002</v>
      </c>
      <c r="R13" s="95"/>
      <c r="S13" s="95"/>
      <c r="T13" s="92">
        <f t="shared" si="4"/>
        <v>0.32000000000005002</v>
      </c>
      <c r="U13" s="95"/>
      <c r="V13" s="95"/>
      <c r="W13" s="92">
        <f t="shared" si="5"/>
        <v>0.32000000000005002</v>
      </c>
    </row>
    <row r="14" spans="1:23" s="94" customFormat="1" ht="11.25" x14ac:dyDescent="0.2">
      <c r="A14" s="96">
        <v>9</v>
      </c>
      <c r="B14" s="91" t="s">
        <v>129</v>
      </c>
      <c r="C14" s="92">
        <v>2650</v>
      </c>
      <c r="D14" s="97"/>
      <c r="E14" s="92">
        <f t="shared" si="0"/>
        <v>2650</v>
      </c>
      <c r="G14" s="95">
        <v>-170</v>
      </c>
      <c r="H14" s="92">
        <f t="shared" si="6"/>
        <v>2480</v>
      </c>
      <c r="I14" s="95"/>
      <c r="J14" s="95">
        <v>-1420</v>
      </c>
      <c r="K14" s="92">
        <f t="shared" si="1"/>
        <v>1060</v>
      </c>
      <c r="L14" s="95"/>
      <c r="M14" s="95">
        <v>-1000</v>
      </c>
      <c r="N14" s="92">
        <f t="shared" si="2"/>
        <v>60</v>
      </c>
      <c r="O14" s="95"/>
      <c r="P14" s="95"/>
      <c r="Q14" s="92">
        <f t="shared" si="3"/>
        <v>60</v>
      </c>
      <c r="R14" s="95"/>
      <c r="S14" s="95"/>
      <c r="T14" s="92">
        <f t="shared" si="4"/>
        <v>60</v>
      </c>
      <c r="U14" s="95"/>
      <c r="V14" s="95"/>
      <c r="W14" s="92">
        <f t="shared" si="5"/>
        <v>60</v>
      </c>
    </row>
    <row r="15" spans="1:23" s="96" customFormat="1" ht="11.25" x14ac:dyDescent="0.2">
      <c r="A15" s="96">
        <v>10</v>
      </c>
      <c r="B15" s="91" t="s">
        <v>130</v>
      </c>
      <c r="C15" s="92">
        <v>10859</v>
      </c>
      <c r="D15" s="97">
        <v>5935</v>
      </c>
      <c r="E15" s="92">
        <f t="shared" si="0"/>
        <v>16794</v>
      </c>
      <c r="F15" s="94"/>
      <c r="G15" s="95"/>
      <c r="H15" s="92">
        <f t="shared" si="6"/>
        <v>16794</v>
      </c>
      <c r="I15" s="95"/>
      <c r="J15" s="95">
        <v>-6691</v>
      </c>
      <c r="K15" s="92">
        <f t="shared" si="1"/>
        <v>10103</v>
      </c>
      <c r="L15" s="95"/>
      <c r="M15" s="95">
        <v>-2878</v>
      </c>
      <c r="N15" s="92">
        <f t="shared" si="2"/>
        <v>7225</v>
      </c>
      <c r="O15" s="95"/>
      <c r="P15" s="95">
        <v>-4754</v>
      </c>
      <c r="Q15" s="92">
        <f t="shared" si="3"/>
        <v>2471</v>
      </c>
      <c r="R15" s="95"/>
      <c r="S15" s="95">
        <v>-2471</v>
      </c>
      <c r="T15" s="92">
        <f t="shared" si="4"/>
        <v>0</v>
      </c>
      <c r="U15" s="95"/>
      <c r="V15" s="95"/>
      <c r="W15" s="92"/>
    </row>
    <row r="16" spans="1:23" s="96" customFormat="1" ht="11.25" x14ac:dyDescent="0.2">
      <c r="A16" s="96">
        <v>11</v>
      </c>
      <c r="B16" s="91" t="s">
        <v>131</v>
      </c>
      <c r="C16" s="92">
        <v>510</v>
      </c>
      <c r="D16" s="97"/>
      <c r="E16" s="92">
        <f t="shared" si="0"/>
        <v>510</v>
      </c>
      <c r="F16" s="94"/>
      <c r="G16" s="95"/>
      <c r="H16" s="92">
        <f t="shared" si="6"/>
        <v>510</v>
      </c>
      <c r="I16" s="95"/>
      <c r="J16" s="95">
        <v>-510</v>
      </c>
      <c r="K16" s="92">
        <f t="shared" si="1"/>
        <v>0</v>
      </c>
      <c r="L16" s="95"/>
      <c r="M16" s="95"/>
      <c r="N16" s="92">
        <f t="shared" si="2"/>
        <v>0</v>
      </c>
      <c r="O16" s="95"/>
      <c r="P16" s="95"/>
      <c r="Q16" s="92">
        <f t="shared" si="3"/>
        <v>0</v>
      </c>
      <c r="R16" s="95"/>
      <c r="S16" s="95"/>
      <c r="T16" s="92">
        <f t="shared" si="4"/>
        <v>0</v>
      </c>
      <c r="U16" s="95"/>
      <c r="V16" s="95"/>
      <c r="W16" s="92">
        <f t="shared" si="5"/>
        <v>0</v>
      </c>
    </row>
    <row r="17" spans="1:23" s="96" customFormat="1" ht="11.25" x14ac:dyDescent="0.2">
      <c r="A17" s="96">
        <v>12</v>
      </c>
      <c r="B17" s="91" t="s">
        <v>132</v>
      </c>
      <c r="C17" s="92">
        <v>4000</v>
      </c>
      <c r="D17" s="97"/>
      <c r="E17" s="92">
        <f t="shared" si="0"/>
        <v>4000</v>
      </c>
      <c r="F17" s="94"/>
      <c r="G17" s="95">
        <v>-1500</v>
      </c>
      <c r="H17" s="92">
        <f t="shared" si="6"/>
        <v>2500</v>
      </c>
      <c r="I17" s="95"/>
      <c r="J17" s="95">
        <f>60*-20</f>
        <v>-1200</v>
      </c>
      <c r="K17" s="92">
        <f t="shared" si="1"/>
        <v>1300</v>
      </c>
      <c r="L17" s="95"/>
      <c r="M17" s="95">
        <v>-1300</v>
      </c>
      <c r="N17" s="92">
        <f t="shared" si="2"/>
        <v>0</v>
      </c>
      <c r="O17" s="95"/>
      <c r="P17" s="95"/>
      <c r="Q17" s="92">
        <f t="shared" si="3"/>
        <v>0</v>
      </c>
      <c r="R17" s="95"/>
      <c r="S17" s="95"/>
      <c r="T17" s="92">
        <f t="shared" si="4"/>
        <v>0</v>
      </c>
      <c r="U17" s="95"/>
      <c r="V17" s="95"/>
      <c r="W17" s="92">
        <f t="shared" si="5"/>
        <v>0</v>
      </c>
    </row>
    <row r="18" spans="1:23" s="96" customFormat="1" ht="11.25" x14ac:dyDescent="0.2">
      <c r="A18" s="96">
        <v>13</v>
      </c>
      <c r="B18" s="91" t="s">
        <v>133</v>
      </c>
      <c r="C18" s="92">
        <v>2400</v>
      </c>
      <c r="D18" s="97"/>
      <c r="E18" s="92">
        <f t="shared" si="0"/>
        <v>2400</v>
      </c>
      <c r="F18" s="94"/>
      <c r="G18" s="95">
        <v>-600</v>
      </c>
      <c r="H18" s="92">
        <f t="shared" si="6"/>
        <v>1800</v>
      </c>
      <c r="I18" s="95"/>
      <c r="J18" s="95">
        <v>-600</v>
      </c>
      <c r="K18" s="92">
        <f t="shared" si="1"/>
        <v>1200</v>
      </c>
      <c r="L18" s="95"/>
      <c r="M18" s="95">
        <v>-600</v>
      </c>
      <c r="N18" s="92">
        <f t="shared" si="2"/>
        <v>600</v>
      </c>
      <c r="O18" s="95"/>
      <c r="P18" s="95">
        <v>-600</v>
      </c>
      <c r="Q18" s="92">
        <f t="shared" si="3"/>
        <v>0</v>
      </c>
      <c r="R18" s="95"/>
      <c r="S18" s="95"/>
      <c r="T18" s="92">
        <f t="shared" si="4"/>
        <v>0</v>
      </c>
      <c r="U18" s="95"/>
      <c r="V18" s="95"/>
      <c r="W18" s="92">
        <f t="shared" si="5"/>
        <v>0</v>
      </c>
    </row>
    <row r="19" spans="1:23" s="96" customFormat="1" ht="11.25" x14ac:dyDescent="0.2">
      <c r="A19" s="96">
        <v>14</v>
      </c>
      <c r="B19" s="91" t="s">
        <v>134</v>
      </c>
      <c r="C19" s="92">
        <v>5500</v>
      </c>
      <c r="D19" s="97"/>
      <c r="E19" s="92">
        <f t="shared" si="0"/>
        <v>5500</v>
      </c>
      <c r="F19" s="94"/>
      <c r="G19" s="95">
        <v>-3898</v>
      </c>
      <c r="H19" s="92">
        <f t="shared" si="6"/>
        <v>1602</v>
      </c>
      <c r="I19" s="95"/>
      <c r="J19" s="95">
        <v>-1602</v>
      </c>
      <c r="K19" s="92">
        <f t="shared" si="1"/>
        <v>0</v>
      </c>
      <c r="L19" s="95"/>
      <c r="M19" s="95"/>
      <c r="N19" s="92">
        <f t="shared" si="2"/>
        <v>0</v>
      </c>
      <c r="O19" s="95"/>
      <c r="P19" s="95"/>
      <c r="Q19" s="92">
        <f t="shared" si="3"/>
        <v>0</v>
      </c>
      <c r="R19" s="95"/>
      <c r="S19" s="95"/>
      <c r="T19" s="92">
        <f t="shared" si="4"/>
        <v>0</v>
      </c>
      <c r="U19" s="95"/>
      <c r="V19" s="95"/>
      <c r="W19" s="92">
        <f t="shared" si="5"/>
        <v>0</v>
      </c>
    </row>
    <row r="20" spans="1:23" s="96" customFormat="1" ht="11.25" x14ac:dyDescent="0.2">
      <c r="A20" s="96">
        <v>15</v>
      </c>
      <c r="B20" s="91" t="s">
        <v>135</v>
      </c>
      <c r="C20" s="92">
        <v>1000</v>
      </c>
      <c r="D20" s="97"/>
      <c r="E20" s="92">
        <f t="shared" si="0"/>
        <v>1000</v>
      </c>
      <c r="F20" s="94"/>
      <c r="G20" s="95">
        <v>-500</v>
      </c>
      <c r="H20" s="92">
        <f t="shared" si="6"/>
        <v>500</v>
      </c>
      <c r="I20" s="95"/>
      <c r="J20" s="95">
        <v>-500</v>
      </c>
      <c r="K20" s="92">
        <f t="shared" si="1"/>
        <v>0</v>
      </c>
      <c r="L20" s="95"/>
      <c r="M20" s="95"/>
      <c r="N20" s="92">
        <f t="shared" si="2"/>
        <v>0</v>
      </c>
      <c r="O20" s="95"/>
      <c r="P20" s="95"/>
      <c r="Q20" s="92">
        <f t="shared" si="3"/>
        <v>0</v>
      </c>
      <c r="R20" s="95"/>
      <c r="S20" s="95"/>
      <c r="T20" s="92">
        <f t="shared" si="4"/>
        <v>0</v>
      </c>
      <c r="U20" s="95"/>
      <c r="V20" s="95"/>
      <c r="W20" s="92">
        <f t="shared" si="5"/>
        <v>0</v>
      </c>
    </row>
    <row r="21" spans="1:23" s="96" customFormat="1" ht="11.25" x14ac:dyDescent="0.2">
      <c r="A21" s="96">
        <v>16</v>
      </c>
      <c r="B21" s="91" t="s">
        <v>136</v>
      </c>
      <c r="C21" s="92">
        <v>500</v>
      </c>
      <c r="D21" s="97">
        <v>-250</v>
      </c>
      <c r="E21" s="92">
        <f t="shared" si="0"/>
        <v>250</v>
      </c>
      <c r="F21" s="94"/>
      <c r="G21" s="95">
        <v>-30</v>
      </c>
      <c r="H21" s="92">
        <f t="shared" si="6"/>
        <v>220</v>
      </c>
      <c r="I21" s="95"/>
      <c r="J21" s="95"/>
      <c r="K21" s="92">
        <f t="shared" si="1"/>
        <v>220</v>
      </c>
      <c r="L21" s="95"/>
      <c r="M21" s="95"/>
      <c r="N21" s="92">
        <f t="shared" si="2"/>
        <v>220</v>
      </c>
      <c r="O21" s="95"/>
      <c r="P21" s="95"/>
      <c r="Q21" s="92">
        <f t="shared" si="3"/>
        <v>220</v>
      </c>
      <c r="R21" s="95"/>
      <c r="S21" s="95"/>
      <c r="T21" s="92">
        <f t="shared" si="4"/>
        <v>220</v>
      </c>
      <c r="U21" s="95"/>
      <c r="V21" s="95"/>
      <c r="W21" s="92">
        <f t="shared" si="5"/>
        <v>220</v>
      </c>
    </row>
    <row r="22" spans="1:23" s="96" customFormat="1" ht="11.25" x14ac:dyDescent="0.2">
      <c r="A22" s="96">
        <v>18</v>
      </c>
      <c r="B22" s="91" t="s">
        <v>137</v>
      </c>
      <c r="C22" s="92">
        <v>20000</v>
      </c>
      <c r="D22" s="97"/>
      <c r="E22" s="92">
        <f t="shared" si="0"/>
        <v>20000</v>
      </c>
      <c r="F22" s="94"/>
      <c r="G22" s="95">
        <v>-9974</v>
      </c>
      <c r="H22" s="92">
        <f t="shared" si="6"/>
        <v>10026</v>
      </c>
      <c r="I22" s="95"/>
      <c r="J22" s="95">
        <v>-10026</v>
      </c>
      <c r="K22" s="92">
        <f t="shared" si="1"/>
        <v>0</v>
      </c>
      <c r="L22" s="95"/>
      <c r="M22" s="95"/>
      <c r="N22" s="92">
        <f t="shared" si="2"/>
        <v>0</v>
      </c>
      <c r="O22" s="95"/>
      <c r="P22" s="95"/>
      <c r="Q22" s="92">
        <f t="shared" si="3"/>
        <v>0</v>
      </c>
      <c r="R22" s="95"/>
      <c r="S22" s="95"/>
      <c r="T22" s="92">
        <f t="shared" si="4"/>
        <v>0</v>
      </c>
      <c r="U22" s="95"/>
      <c r="V22" s="95"/>
      <c r="W22" s="92">
        <f t="shared" si="5"/>
        <v>0</v>
      </c>
    </row>
    <row r="23" spans="1:23" s="96" customFormat="1" ht="11.25" x14ac:dyDescent="0.2">
      <c r="A23" s="96">
        <v>19</v>
      </c>
      <c r="B23" s="91" t="s">
        <v>138</v>
      </c>
      <c r="C23" s="92"/>
      <c r="D23" s="97">
        <v>3500</v>
      </c>
      <c r="E23" s="92">
        <f t="shared" si="0"/>
        <v>3500</v>
      </c>
      <c r="F23" s="94"/>
      <c r="G23" s="95">
        <v>-400</v>
      </c>
      <c r="H23" s="92">
        <f t="shared" si="6"/>
        <v>3100</v>
      </c>
      <c r="I23" s="95"/>
      <c r="J23" s="95">
        <v>-1750</v>
      </c>
      <c r="K23" s="92">
        <f t="shared" si="1"/>
        <v>1350</v>
      </c>
      <c r="L23" s="95"/>
      <c r="M23" s="95">
        <v>-1350</v>
      </c>
      <c r="N23" s="92">
        <f t="shared" si="2"/>
        <v>0</v>
      </c>
      <c r="O23" s="95"/>
      <c r="P23" s="95"/>
      <c r="Q23" s="92">
        <f t="shared" si="3"/>
        <v>0</v>
      </c>
      <c r="R23" s="95"/>
      <c r="S23" s="95"/>
      <c r="T23" s="92">
        <f t="shared" si="4"/>
        <v>0</v>
      </c>
      <c r="U23" s="95"/>
      <c r="V23" s="95"/>
      <c r="W23" s="92">
        <f t="shared" si="5"/>
        <v>0</v>
      </c>
    </row>
    <row r="24" spans="1:23" s="96" customFormat="1" ht="11.25" x14ac:dyDescent="0.2">
      <c r="B24" s="99" t="s">
        <v>139</v>
      </c>
      <c r="C24" s="100">
        <f>SUM(C10:C22)</f>
        <v>61286.607749999996</v>
      </c>
      <c r="D24" s="101">
        <f>SUM(D10:D23)</f>
        <v>9886</v>
      </c>
      <c r="E24" s="101">
        <f t="shared" ref="E24:W24" si="7">SUM(E10:E23)</f>
        <v>71172.607749999996</v>
      </c>
      <c r="F24" s="101">
        <f t="shared" si="7"/>
        <v>936</v>
      </c>
      <c r="G24" s="101">
        <f t="shared" si="7"/>
        <v>-22227</v>
      </c>
      <c r="H24" s="101">
        <f t="shared" si="7"/>
        <v>49881.607749999996</v>
      </c>
      <c r="I24" s="101">
        <f t="shared" si="7"/>
        <v>3310</v>
      </c>
      <c r="J24" s="101">
        <f t="shared" si="7"/>
        <v>-27958</v>
      </c>
      <c r="K24" s="101">
        <f t="shared" si="7"/>
        <v>25233.607749999999</v>
      </c>
      <c r="L24" s="101">
        <f t="shared" si="7"/>
        <v>639</v>
      </c>
      <c r="M24" s="101">
        <f t="shared" si="7"/>
        <v>-7393</v>
      </c>
      <c r="N24" s="101">
        <f t="shared" si="7"/>
        <v>18479.607749999999</v>
      </c>
      <c r="O24" s="101">
        <f t="shared" si="7"/>
        <v>562</v>
      </c>
      <c r="P24" s="101">
        <f t="shared" si="7"/>
        <v>-5459</v>
      </c>
      <c r="Q24" s="101">
        <f t="shared" si="7"/>
        <v>13582.607749999999</v>
      </c>
      <c r="R24" s="101">
        <f t="shared" si="7"/>
        <v>1270</v>
      </c>
      <c r="S24" s="101">
        <f t="shared" si="7"/>
        <v>-3071</v>
      </c>
      <c r="T24" s="101">
        <f t="shared" si="7"/>
        <v>11781.607749999999</v>
      </c>
      <c r="U24" s="101">
        <f t="shared" si="7"/>
        <v>1100</v>
      </c>
      <c r="V24" s="101">
        <f t="shared" si="7"/>
        <v>-105</v>
      </c>
      <c r="W24" s="101">
        <f t="shared" si="7"/>
        <v>12776.607749999999</v>
      </c>
    </row>
    <row r="25" spans="1:23" s="79" customFormat="1" ht="11.25" x14ac:dyDescent="0.2">
      <c r="B25" s="102" t="s">
        <v>140</v>
      </c>
      <c r="C25" s="103">
        <f t="shared" ref="C25:W25" si="8">SUM(C5:C8)+C24</f>
        <v>87207.883749999892</v>
      </c>
      <c r="D25" s="103">
        <f t="shared" si="8"/>
        <v>-250</v>
      </c>
      <c r="E25" s="103">
        <f t="shared" si="8"/>
        <v>86957.883749999892</v>
      </c>
      <c r="F25" s="103">
        <f t="shared" si="8"/>
        <v>23003</v>
      </c>
      <c r="G25" s="103">
        <f t="shared" si="8"/>
        <v>-28174</v>
      </c>
      <c r="H25" s="103">
        <f t="shared" si="8"/>
        <v>81786.883749999892</v>
      </c>
      <c r="I25" s="103">
        <f t="shared" si="8"/>
        <v>3632</v>
      </c>
      <c r="J25" s="103">
        <f t="shared" si="8"/>
        <v>-32588</v>
      </c>
      <c r="K25" s="103">
        <f t="shared" si="8"/>
        <v>52830.883749999906</v>
      </c>
      <c r="L25" s="103">
        <f t="shared" si="8"/>
        <v>8952</v>
      </c>
      <c r="M25" s="103">
        <f t="shared" si="8"/>
        <v>-25706</v>
      </c>
      <c r="N25" s="103">
        <f t="shared" si="8"/>
        <v>36076.883749999906</v>
      </c>
      <c r="O25" s="103">
        <f t="shared" si="8"/>
        <v>3135</v>
      </c>
      <c r="P25" s="103">
        <f t="shared" si="8"/>
        <v>-16720</v>
      </c>
      <c r="Q25" s="103">
        <f t="shared" si="8"/>
        <v>22491.883749999903</v>
      </c>
      <c r="R25" s="103">
        <f t="shared" si="8"/>
        <v>2530</v>
      </c>
      <c r="S25" s="103">
        <f t="shared" si="8"/>
        <v>-4331</v>
      </c>
      <c r="T25" s="103">
        <f t="shared" si="8"/>
        <v>20690.883749999903</v>
      </c>
      <c r="U25" s="103">
        <f t="shared" si="8"/>
        <v>1100</v>
      </c>
      <c r="V25" s="103">
        <f t="shared" si="8"/>
        <v>-105</v>
      </c>
      <c r="W25" s="103">
        <f t="shared" si="8"/>
        <v>21685.883749999903</v>
      </c>
    </row>
    <row r="26" spans="1:23" s="79" customFormat="1" ht="11.25" x14ac:dyDescent="0.2">
      <c r="B26" s="104"/>
      <c r="C26" s="105"/>
      <c r="D26" s="77"/>
    </row>
    <row r="27" spans="1:23" x14ac:dyDescent="0.25">
      <c r="B27" s="106"/>
    </row>
  </sheetData>
  <pageMargins left="0.31496062992125984" right="0.31496062992125984" top="0.78740157480314965" bottom="0.35433070866141736" header="0.31496062992125984" footer="0.31496062992125984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56"/>
    <pageSetUpPr fitToPage="1"/>
  </sheetPr>
  <dimension ref="A1:BH141"/>
  <sheetViews>
    <sheetView zoomScale="60" zoomScaleNormal="60" workbookViewId="0">
      <pane xSplit="1" ySplit="11" topLeftCell="BA12" activePane="bottomRight" state="frozen"/>
      <selection activeCell="A108" sqref="A108"/>
      <selection pane="topRight" activeCell="A108" sqref="A108"/>
      <selection pane="bottomLeft" activeCell="A108" sqref="A108"/>
      <selection pane="bottomRight" activeCell="BM23" sqref="BM23"/>
    </sheetView>
  </sheetViews>
  <sheetFormatPr defaultColWidth="9.140625" defaultRowHeight="18" x14ac:dyDescent="0.25"/>
  <cols>
    <col min="1" max="1" width="72" style="15" customWidth="1"/>
    <col min="2" max="2" width="20" style="13" hidden="1" customWidth="1"/>
    <col min="3" max="3" width="4" style="13" hidden="1" customWidth="1"/>
    <col min="4" max="4" width="20.5703125" style="13" hidden="1" customWidth="1"/>
    <col min="5" max="5" width="4.5703125" style="13" hidden="1" customWidth="1"/>
    <col min="6" max="6" width="17.85546875" style="13" hidden="1" customWidth="1"/>
    <col min="7" max="7" width="3.5703125" style="13" hidden="1" customWidth="1"/>
    <col min="8" max="8" width="18" style="13" hidden="1" customWidth="1"/>
    <col min="9" max="9" width="4.140625" style="13" hidden="1" customWidth="1"/>
    <col min="10" max="10" width="20.140625" style="13" hidden="1" customWidth="1"/>
    <col min="11" max="11" width="3.5703125" style="13" hidden="1" customWidth="1"/>
    <col min="12" max="12" width="18.85546875" style="13" hidden="1" customWidth="1"/>
    <col min="13" max="13" width="3.5703125" style="13" hidden="1" customWidth="1"/>
    <col min="14" max="14" width="20" style="13" bestFit="1" customWidth="1"/>
    <col min="15" max="15" width="3.5703125" style="13" bestFit="1" customWidth="1"/>
    <col min="16" max="16" width="20.7109375" style="13" customWidth="1"/>
    <col min="17" max="17" width="3.5703125" style="13" hidden="1" customWidth="1"/>
    <col min="18" max="18" width="17" style="13" hidden="1" customWidth="1"/>
    <col min="19" max="19" width="3.5703125" style="13" bestFit="1" customWidth="1"/>
    <col min="20" max="20" width="17.5703125" style="13" customWidth="1"/>
    <col min="21" max="21" width="3.5703125" style="13" bestFit="1" customWidth="1"/>
    <col min="22" max="22" width="20.7109375" style="13" customWidth="1"/>
    <col min="23" max="23" width="3.5703125" style="13" bestFit="1" customWidth="1"/>
    <col min="24" max="24" width="16.28515625" style="13" customWidth="1"/>
    <col min="25" max="25" width="3.5703125" style="13" customWidth="1"/>
    <col min="26" max="26" width="17.28515625" style="13" bestFit="1" customWidth="1"/>
    <col min="27" max="27" width="3.5703125" style="13" bestFit="1" customWidth="1"/>
    <col min="28" max="28" width="23.7109375" style="13" bestFit="1" customWidth="1"/>
    <col min="29" max="29" width="3.5703125" style="13" bestFit="1" customWidth="1"/>
    <col min="30" max="30" width="21" style="13" customWidth="1"/>
    <col min="31" max="31" width="3.5703125" style="13" bestFit="1" customWidth="1"/>
    <col min="32" max="32" width="16.7109375" style="13" customWidth="1"/>
    <col min="33" max="33" width="3.5703125" style="13" customWidth="1"/>
    <col min="34" max="34" width="16.28515625" style="13" bestFit="1" customWidth="1"/>
    <col min="35" max="35" width="3.5703125" style="13" bestFit="1" customWidth="1"/>
    <col min="36" max="36" width="20.7109375" style="13" customWidth="1"/>
    <col min="37" max="37" width="3.42578125" style="13" customWidth="1"/>
    <col min="38" max="38" width="21.7109375" style="13" bestFit="1" customWidth="1"/>
    <col min="39" max="39" width="2.5703125" style="13" bestFit="1" customWidth="1"/>
    <col min="40" max="40" width="14.85546875" style="13" customWidth="1"/>
    <col min="41" max="41" width="2.5703125" style="13" bestFit="1" customWidth="1"/>
    <col min="42" max="42" width="15.140625" style="13" bestFit="1" customWidth="1"/>
    <col min="43" max="43" width="2.5703125" style="13" bestFit="1" customWidth="1"/>
    <col min="44" max="44" width="20" style="13" bestFit="1" customWidth="1"/>
    <col min="45" max="45" width="5.28515625" style="13" customWidth="1"/>
    <col min="46" max="46" width="21.7109375" style="13" bestFit="1" customWidth="1"/>
    <col min="47" max="47" width="2.5703125" style="13" bestFit="1" customWidth="1"/>
    <col min="48" max="48" width="13.85546875" style="13" bestFit="1" customWidth="1"/>
    <col min="49" max="49" width="2.5703125" style="13" bestFit="1" customWidth="1"/>
    <col min="50" max="50" width="15.140625" style="13" bestFit="1" customWidth="1"/>
    <col min="51" max="51" width="2.5703125" style="13" bestFit="1" customWidth="1"/>
    <col min="52" max="52" width="23.28515625" style="13" bestFit="1" customWidth="1"/>
    <col min="53" max="53" width="4.42578125" style="13" customWidth="1"/>
    <col min="54" max="54" width="21.7109375" style="13" bestFit="1" customWidth="1"/>
    <col min="55" max="55" width="3.140625" style="13" customWidth="1"/>
    <col min="56" max="56" width="14.140625" style="13" bestFit="1" customWidth="1"/>
    <col min="57" max="57" width="4.140625" style="13" customWidth="1"/>
    <col min="58" max="58" width="15.140625" style="13" customWidth="1"/>
    <col min="59" max="59" width="4.140625" style="13" customWidth="1"/>
    <col min="60" max="60" width="20" style="13" bestFit="1" customWidth="1"/>
    <col min="61" max="16384" width="9.140625" style="13"/>
  </cols>
  <sheetData>
    <row r="1" spans="1:60" x14ac:dyDescent="0.25">
      <c r="A1" s="12" t="s">
        <v>2</v>
      </c>
      <c r="AJ1" s="14" t="s">
        <v>0</v>
      </c>
      <c r="BH1" s="13" t="s">
        <v>107</v>
      </c>
    </row>
    <row r="2" spans="1:60" ht="24" customHeight="1" thickBot="1" x14ac:dyDescent="0.3">
      <c r="A2" s="15" t="s">
        <v>0</v>
      </c>
      <c r="T2" s="14"/>
      <c r="AB2" s="14"/>
    </row>
    <row r="3" spans="1:60" ht="78" customHeight="1" thickBot="1" x14ac:dyDescent="0.3"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3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20"/>
    </row>
    <row r="5" spans="1:60" ht="1.5" customHeight="1" thickBot="1" x14ac:dyDescent="0.3">
      <c r="A5" s="21"/>
    </row>
    <row r="6" spans="1:60" x14ac:dyDescent="0.25">
      <c r="A6" s="22"/>
      <c r="B6" s="23" t="s">
        <v>4</v>
      </c>
      <c r="C6" s="22"/>
      <c r="D6" s="24" t="s">
        <v>5</v>
      </c>
      <c r="E6" s="25"/>
      <c r="F6" s="24" t="s">
        <v>4</v>
      </c>
      <c r="G6" s="25"/>
      <c r="H6" s="24" t="s">
        <v>6</v>
      </c>
      <c r="I6" s="25"/>
      <c r="J6" s="24" t="s">
        <v>4</v>
      </c>
      <c r="L6" s="24" t="s">
        <v>7</v>
      </c>
      <c r="M6" s="25"/>
      <c r="N6" s="23" t="s">
        <v>8</v>
      </c>
      <c r="O6" s="22"/>
      <c r="P6" s="24" t="s">
        <v>9</v>
      </c>
      <c r="Q6" s="25"/>
      <c r="R6" s="23" t="s">
        <v>10</v>
      </c>
      <c r="T6" s="23" t="s">
        <v>8</v>
      </c>
      <c r="U6" s="22"/>
      <c r="V6" s="24" t="s">
        <v>9</v>
      </c>
      <c r="W6" s="25"/>
      <c r="X6" s="23" t="s">
        <v>10</v>
      </c>
      <c r="Y6" s="25"/>
      <c r="Z6" s="24" t="s">
        <v>11</v>
      </c>
      <c r="AB6" s="23" t="s">
        <v>12</v>
      </c>
      <c r="AC6" s="22"/>
      <c r="AD6" s="24" t="s">
        <v>9</v>
      </c>
      <c r="AE6" s="25"/>
      <c r="AF6" s="23" t="s">
        <v>10</v>
      </c>
      <c r="AG6" s="25"/>
      <c r="AH6" s="24" t="s">
        <v>11</v>
      </c>
      <c r="AJ6" s="23" t="s">
        <v>13</v>
      </c>
      <c r="AL6" s="24" t="s">
        <v>9</v>
      </c>
      <c r="AM6" s="25"/>
      <c r="AN6" s="23" t="s">
        <v>10</v>
      </c>
      <c r="AO6" s="25"/>
      <c r="AP6" s="24" t="s">
        <v>11</v>
      </c>
      <c r="AR6" s="23" t="s">
        <v>14</v>
      </c>
      <c r="AT6" s="24" t="s">
        <v>9</v>
      </c>
      <c r="AU6" s="25"/>
      <c r="AV6" s="23" t="s">
        <v>10</v>
      </c>
      <c r="AW6" s="25"/>
      <c r="AX6" s="24" t="s">
        <v>11</v>
      </c>
      <c r="AZ6" s="23" t="s">
        <v>15</v>
      </c>
      <c r="BB6" s="24" t="s">
        <v>9</v>
      </c>
      <c r="BC6" s="25"/>
      <c r="BD6" s="23" t="s">
        <v>10</v>
      </c>
      <c r="BE6" s="25"/>
      <c r="BF6" s="24" t="s">
        <v>11</v>
      </c>
      <c r="BH6" s="23" t="s">
        <v>16</v>
      </c>
    </row>
    <row r="7" spans="1:60" x14ac:dyDescent="0.25">
      <c r="A7" s="22"/>
      <c r="B7" s="26" t="s">
        <v>17</v>
      </c>
      <c r="C7" s="22"/>
      <c r="D7" s="26" t="s">
        <v>9</v>
      </c>
      <c r="E7" s="25"/>
      <c r="F7" s="26" t="s">
        <v>18</v>
      </c>
      <c r="G7" s="25"/>
      <c r="H7" s="26"/>
      <c r="I7" s="25"/>
      <c r="J7" s="26" t="s">
        <v>19</v>
      </c>
      <c r="L7" s="26" t="s">
        <v>20</v>
      </c>
      <c r="M7" s="25"/>
      <c r="N7" s="26" t="s">
        <v>17</v>
      </c>
      <c r="O7" s="22"/>
      <c r="P7" s="26" t="s">
        <v>0</v>
      </c>
      <c r="Q7" s="25"/>
      <c r="R7" s="26"/>
      <c r="T7" s="26" t="s">
        <v>21</v>
      </c>
      <c r="U7" s="22"/>
      <c r="V7" s="26" t="s">
        <v>0</v>
      </c>
      <c r="W7" s="25"/>
      <c r="X7" s="26"/>
      <c r="Y7" s="25"/>
      <c r="Z7" s="26" t="s">
        <v>22</v>
      </c>
      <c r="AB7" s="26" t="s">
        <v>17</v>
      </c>
      <c r="AC7" s="22"/>
      <c r="AD7" s="26" t="s">
        <v>0</v>
      </c>
      <c r="AE7" s="25"/>
      <c r="AF7" s="26"/>
      <c r="AG7" s="25"/>
      <c r="AH7" s="26" t="s">
        <v>22</v>
      </c>
      <c r="AJ7" s="26" t="s">
        <v>17</v>
      </c>
      <c r="AL7" s="26" t="s">
        <v>0</v>
      </c>
      <c r="AM7" s="25"/>
      <c r="AN7" s="26"/>
      <c r="AO7" s="25"/>
      <c r="AP7" s="26" t="s">
        <v>22</v>
      </c>
      <c r="AR7" s="26" t="s">
        <v>17</v>
      </c>
      <c r="AT7" s="26" t="s">
        <v>0</v>
      </c>
      <c r="AU7" s="25"/>
      <c r="AV7" s="26"/>
      <c r="AW7" s="25"/>
      <c r="AX7" s="26" t="s">
        <v>22</v>
      </c>
      <c r="AZ7" s="26" t="s">
        <v>17</v>
      </c>
      <c r="BB7" s="26" t="s">
        <v>0</v>
      </c>
      <c r="BC7" s="25"/>
      <c r="BD7" s="26"/>
      <c r="BE7" s="25"/>
      <c r="BF7" s="26" t="s">
        <v>22</v>
      </c>
      <c r="BH7" s="26" t="s">
        <v>17</v>
      </c>
    </row>
    <row r="8" spans="1:60" x14ac:dyDescent="0.25">
      <c r="A8" s="22"/>
      <c r="B8" s="26" t="s">
        <v>23</v>
      </c>
      <c r="C8" s="22"/>
      <c r="D8" s="26"/>
      <c r="E8" s="25"/>
      <c r="F8" s="26" t="s">
        <v>24</v>
      </c>
      <c r="G8" s="25"/>
      <c r="H8" s="26"/>
      <c r="I8" s="25"/>
      <c r="J8" s="26" t="s">
        <v>25</v>
      </c>
      <c r="L8" s="26" t="s">
        <v>26</v>
      </c>
      <c r="M8" s="25"/>
      <c r="N8" s="26" t="s">
        <v>23</v>
      </c>
      <c r="O8" s="22"/>
      <c r="P8" s="26"/>
      <c r="Q8" s="25"/>
      <c r="R8" s="26"/>
      <c r="T8" s="26" t="s">
        <v>18</v>
      </c>
      <c r="U8" s="22"/>
      <c r="V8" s="26"/>
      <c r="W8" s="25"/>
      <c r="X8" s="26"/>
      <c r="Y8" s="25"/>
      <c r="Z8" s="26"/>
      <c r="AB8" s="26" t="s">
        <v>23</v>
      </c>
      <c r="AC8" s="22"/>
      <c r="AD8" s="26"/>
      <c r="AE8" s="25"/>
      <c r="AF8" s="26"/>
      <c r="AG8" s="25"/>
      <c r="AH8" s="26"/>
      <c r="AJ8" s="26" t="s">
        <v>23</v>
      </c>
      <c r="AL8" s="26"/>
      <c r="AM8" s="25"/>
      <c r="AN8" s="26"/>
      <c r="AO8" s="25"/>
      <c r="AP8" s="26"/>
      <c r="AR8" s="26" t="s">
        <v>23</v>
      </c>
      <c r="AT8" s="26"/>
      <c r="AU8" s="25"/>
      <c r="AV8" s="26"/>
      <c r="AW8" s="25"/>
      <c r="AX8" s="26"/>
      <c r="AZ8" s="26" t="s">
        <v>23</v>
      </c>
      <c r="BB8" s="26"/>
      <c r="BC8" s="25"/>
      <c r="BD8" s="26"/>
      <c r="BE8" s="25"/>
      <c r="BF8" s="26"/>
      <c r="BH8" s="26" t="s">
        <v>23</v>
      </c>
    </row>
    <row r="9" spans="1:60" ht="18.75" thickBot="1" x14ac:dyDescent="0.3">
      <c r="A9" s="27"/>
      <c r="B9" s="28" t="s">
        <v>1</v>
      </c>
      <c r="C9" s="27"/>
      <c r="D9" s="29" t="s">
        <v>1</v>
      </c>
      <c r="E9" s="25"/>
      <c r="F9" s="29" t="s">
        <v>1</v>
      </c>
      <c r="G9" s="25"/>
      <c r="H9" s="29" t="s">
        <v>1</v>
      </c>
      <c r="I9" s="25"/>
      <c r="J9" s="29" t="s">
        <v>1</v>
      </c>
      <c r="L9" s="29" t="s">
        <v>1</v>
      </c>
      <c r="M9" s="29" t="s">
        <v>0</v>
      </c>
      <c r="N9" s="29" t="s">
        <v>1</v>
      </c>
      <c r="O9" s="27"/>
      <c r="P9" s="29" t="s">
        <v>1</v>
      </c>
      <c r="Q9" s="25"/>
      <c r="R9" s="29" t="s">
        <v>1</v>
      </c>
      <c r="T9" s="29" t="s">
        <v>1</v>
      </c>
      <c r="U9" s="27"/>
      <c r="V9" s="29" t="s">
        <v>1</v>
      </c>
      <c r="W9" s="25"/>
      <c r="X9" s="29" t="s">
        <v>1</v>
      </c>
      <c r="Y9" s="25"/>
      <c r="Z9" s="29" t="s">
        <v>1</v>
      </c>
      <c r="AB9" s="28" t="s">
        <v>1</v>
      </c>
      <c r="AC9" s="27"/>
      <c r="AD9" s="29" t="s">
        <v>1</v>
      </c>
      <c r="AE9" s="25"/>
      <c r="AF9" s="29" t="s">
        <v>1</v>
      </c>
      <c r="AG9" s="25"/>
      <c r="AH9" s="29" t="s">
        <v>1</v>
      </c>
      <c r="AJ9" s="28" t="s">
        <v>1</v>
      </c>
      <c r="AL9" s="29" t="s">
        <v>1</v>
      </c>
      <c r="AM9" s="25"/>
      <c r="AN9" s="29" t="s">
        <v>1</v>
      </c>
      <c r="AO9" s="25"/>
      <c r="AP9" s="29" t="s">
        <v>1</v>
      </c>
      <c r="AR9" s="28" t="s">
        <v>1</v>
      </c>
      <c r="AT9" s="29" t="s">
        <v>1</v>
      </c>
      <c r="AU9" s="25"/>
      <c r="AV9" s="29" t="s">
        <v>1</v>
      </c>
      <c r="AW9" s="25"/>
      <c r="AX9" s="29" t="s">
        <v>1</v>
      </c>
      <c r="AZ9" s="28" t="s">
        <v>1</v>
      </c>
      <c r="BB9" s="29" t="s">
        <v>1</v>
      </c>
      <c r="BC9" s="25"/>
      <c r="BD9" s="29" t="s">
        <v>1</v>
      </c>
      <c r="BE9" s="25"/>
      <c r="BF9" s="29" t="s">
        <v>1</v>
      </c>
      <c r="BH9" s="28" t="s">
        <v>1</v>
      </c>
    </row>
    <row r="10" spans="1:60" ht="8.25" customHeight="1" thickBot="1" x14ac:dyDescent="0.3">
      <c r="B10" s="30"/>
      <c r="C10" s="15"/>
      <c r="D10" s="30"/>
      <c r="E10" s="15"/>
      <c r="F10" s="30"/>
      <c r="G10" s="15"/>
      <c r="H10" s="15"/>
      <c r="I10" s="15"/>
      <c r="J10" s="30"/>
      <c r="L10" s="30"/>
      <c r="N10" s="30"/>
      <c r="O10" s="15"/>
      <c r="P10" s="15"/>
      <c r="Q10" s="15"/>
      <c r="R10" s="30"/>
      <c r="T10" s="30"/>
      <c r="U10" s="15"/>
      <c r="V10" s="15"/>
      <c r="W10" s="15"/>
      <c r="X10" s="30"/>
      <c r="Y10" s="15"/>
      <c r="AB10" s="30"/>
      <c r="AC10" s="15"/>
      <c r="AD10" s="15"/>
      <c r="AE10" s="15"/>
      <c r="AF10" s="30"/>
      <c r="AG10" s="15"/>
      <c r="AJ10" s="30"/>
      <c r="AL10" s="15"/>
      <c r="AM10" s="15"/>
      <c r="AN10" s="30"/>
      <c r="AO10" s="15"/>
      <c r="AR10" s="30"/>
      <c r="AT10" s="15"/>
      <c r="AU10" s="15"/>
      <c r="AV10" s="30"/>
      <c r="AW10" s="15"/>
      <c r="AZ10" s="30"/>
      <c r="BB10" s="15"/>
      <c r="BC10" s="15"/>
      <c r="BD10" s="30"/>
      <c r="BE10" s="15"/>
      <c r="BH10" s="30"/>
    </row>
    <row r="11" spans="1:60" ht="18.75" thickBot="1" x14ac:dyDescent="0.3">
      <c r="A11" s="31" t="s">
        <v>27</v>
      </c>
      <c r="B11" s="32"/>
      <c r="C11" s="15"/>
      <c r="D11" s="32"/>
      <c r="E11" s="15"/>
      <c r="F11" s="32"/>
      <c r="G11" s="15"/>
      <c r="H11" s="33"/>
      <c r="J11" s="32"/>
      <c r="L11" s="32"/>
      <c r="N11" s="32"/>
      <c r="O11" s="15"/>
      <c r="P11" s="33"/>
      <c r="Q11" s="15"/>
      <c r="R11" s="32"/>
      <c r="T11" s="32"/>
      <c r="U11" s="15"/>
      <c r="V11" s="33"/>
      <c r="W11" s="15"/>
      <c r="X11" s="32"/>
      <c r="Y11" s="15"/>
      <c r="Z11" s="33"/>
      <c r="AB11" s="32"/>
      <c r="AC11" s="15"/>
      <c r="AD11" s="33"/>
      <c r="AE11" s="15"/>
      <c r="AF11" s="34" t="s">
        <v>0</v>
      </c>
      <c r="AG11" s="15"/>
      <c r="AH11" s="33"/>
      <c r="AJ11" s="32"/>
      <c r="AL11" s="33"/>
      <c r="AM11" s="15"/>
      <c r="AN11" s="34" t="s">
        <v>0</v>
      </c>
      <c r="AO11" s="15"/>
      <c r="AP11" s="33"/>
      <c r="AR11" s="32"/>
      <c r="AT11" s="33"/>
      <c r="AU11" s="15"/>
      <c r="AV11" s="34" t="s">
        <v>0</v>
      </c>
      <c r="AW11" s="15"/>
      <c r="AX11" s="33"/>
      <c r="AZ11" s="32"/>
      <c r="BB11" s="33"/>
      <c r="BC11" s="15"/>
      <c r="BD11" s="34" t="s">
        <v>0</v>
      </c>
      <c r="BE11" s="15"/>
      <c r="BF11" s="33"/>
      <c r="BH11" s="32"/>
    </row>
    <row r="12" spans="1:60" x14ac:dyDescent="0.25">
      <c r="A12" s="35"/>
      <c r="B12" s="36"/>
      <c r="C12" s="15"/>
      <c r="D12" s="36"/>
      <c r="E12" s="15"/>
      <c r="F12" s="36"/>
      <c r="G12" s="15"/>
      <c r="H12" s="37"/>
      <c r="J12" s="38" t="s">
        <v>0</v>
      </c>
      <c r="L12" s="36"/>
      <c r="N12" s="36"/>
      <c r="O12" s="15"/>
      <c r="P12" s="37"/>
      <c r="Q12" s="15"/>
      <c r="R12" s="36"/>
      <c r="T12" s="36"/>
      <c r="U12" s="15"/>
      <c r="V12" s="37"/>
      <c r="W12" s="15"/>
      <c r="X12" s="36"/>
      <c r="Y12" s="15"/>
      <c r="Z12" s="37"/>
      <c r="AB12" s="36"/>
      <c r="AC12" s="15"/>
      <c r="AD12" s="37"/>
      <c r="AE12" s="15"/>
      <c r="AF12" s="36"/>
      <c r="AG12" s="15"/>
      <c r="AH12" s="37"/>
      <c r="AJ12" s="36"/>
      <c r="AL12" s="37"/>
      <c r="AM12" s="15"/>
      <c r="AN12" s="36"/>
      <c r="AO12" s="15"/>
      <c r="AP12" s="37"/>
      <c r="AR12" s="36"/>
      <c r="AT12" s="37"/>
      <c r="AU12" s="15"/>
      <c r="AV12" s="36"/>
      <c r="AW12" s="15"/>
      <c r="AX12" s="37"/>
      <c r="AZ12" s="36"/>
      <c r="BB12" s="37"/>
      <c r="BC12" s="15"/>
      <c r="BD12" s="36"/>
      <c r="BE12" s="15"/>
      <c r="BF12" s="37"/>
      <c r="BH12" s="36"/>
    </row>
    <row r="13" spans="1:60" x14ac:dyDescent="0.25">
      <c r="A13" s="15" t="s">
        <v>28</v>
      </c>
      <c r="B13" s="39">
        <f>'[3]SUMMARY BUDGET MOVES '!I12+'[3]SUMMARY BUDGET MOVES '!R12+'[3]SUMMARY BUDGET MOVES '!S12</f>
        <v>239958.27839444552</v>
      </c>
      <c r="C13" s="40"/>
      <c r="D13" s="39">
        <f>SUM('[3]SUMMARY BUDGET MOVES '!J12)</f>
        <v>-2864</v>
      </c>
      <c r="E13" s="40"/>
      <c r="F13" s="39">
        <f>B13+D13</f>
        <v>237094.27839444552</v>
      </c>
      <c r="G13" s="40"/>
      <c r="H13" s="39">
        <f>SUM('[3]SUMMARY BUDGET MOVES '!L12:N12)</f>
        <v>-3819.3820381397795</v>
      </c>
      <c r="I13" s="40"/>
      <c r="J13" s="39">
        <f>F13+H13</f>
        <v>233274.89635630575</v>
      </c>
      <c r="K13" s="40"/>
      <c r="L13" s="39">
        <f>SUM('[3]SUMMARY BUDGET MOVES '!P12)</f>
        <v>-1085</v>
      </c>
      <c r="M13" s="40"/>
      <c r="N13" s="39">
        <f>J13+L13</f>
        <v>232189.89635630575</v>
      </c>
      <c r="O13" s="40"/>
      <c r="P13" s="39">
        <f>SUM('[3]SUMMARY BUDGET MOVES '!T12:Y12)</f>
        <v>0</v>
      </c>
      <c r="Q13" s="41"/>
      <c r="R13" s="39">
        <f>SUM('[3]SUMMARY BUDGET MOVES '!Z12:AB12)</f>
        <v>0</v>
      </c>
      <c r="S13" s="40"/>
      <c r="T13" s="39">
        <f>SUM(N13:R13)</f>
        <v>232189.89635630575</v>
      </c>
      <c r="U13" s="40"/>
      <c r="V13" s="39">
        <f>SUM('[3]SUMMARY BUDGET MOVES '!AD12:AF12)+SUM('[3]SUMMARY BUDGET MOVES '!AL12:AO12)+'[3]SUMMARY BUDGET MOVES '!AJ12</f>
        <v>9419</v>
      </c>
      <c r="W13" s="41"/>
      <c r="X13" s="39">
        <f>'[3]SUMMARY BUDGET MOVES '!AK12+'[3]SUMMARY BUDGET MOVES '!AQ12++'[3]SUMMARY BUDGET MOVES '!AP12+'[3]SUMMARY BUDGET MOVES '!AR12</f>
        <v>-9511</v>
      </c>
      <c r="Y13" s="41"/>
      <c r="Z13" s="39">
        <f>'[3]SUMMARY BUDGET MOVES '!AT12+'[3]SUMMARY BUDGET MOVES '!AI12</f>
        <v>2319.7977419771441</v>
      </c>
      <c r="AA13" s="40"/>
      <c r="AB13" s="39">
        <f>SUM(T13:Z13)</f>
        <v>234417.6940982829</v>
      </c>
      <c r="AC13" s="40"/>
      <c r="AD13" s="39">
        <f>5600+6345</f>
        <v>11945</v>
      </c>
      <c r="AE13" s="41"/>
      <c r="AF13" s="39">
        <f>'[3]People Forecast2'!H39+'[3]People Forecast2'!H40+'[3]People Forecast2'!H29</f>
        <v>-13533.083333333334</v>
      </c>
      <c r="AG13" s="41"/>
      <c r="AH13" s="39">
        <f>(((AB13+AD13+AF13)*(1%/12*5)+((AB13+AD13+AF3)*(1%/12*5)+(AB13+AD13+AF3))*1%/12*7))</f>
        <v>2413.2270759088287</v>
      </c>
      <c r="AI13" s="40"/>
      <c r="AJ13" s="39">
        <f>SUM(AB13:AH13)</f>
        <v>235242.83784085838</v>
      </c>
      <c r="AK13" s="42"/>
      <c r="AL13" s="39">
        <v>3000</v>
      </c>
      <c r="AM13" s="41"/>
      <c r="AN13" s="39">
        <f>'[3]People Forecast2'!I44</f>
        <v>-11657.48</v>
      </c>
      <c r="AO13" s="41"/>
      <c r="AP13" s="39">
        <f>(((AJ13+AL13+AN13)*(1%/12*5)+((AJ13+AL13+AN13)*(1%/12*5)+(AJ13+AL13+AN13))*1%/12*7))</f>
        <v>2271.3608614116602</v>
      </c>
      <c r="AQ13" s="40"/>
      <c r="AR13" s="39">
        <f>SUM(AJ13:AP13)</f>
        <v>228856.71870227004</v>
      </c>
      <c r="AT13" s="39">
        <v>3000</v>
      </c>
      <c r="AU13" s="41"/>
      <c r="AV13" s="39">
        <f>'[3]People Forecast2'!J44</f>
        <v>-13411.8506</v>
      </c>
      <c r="AW13" s="41"/>
      <c r="AX13" s="39">
        <f>(((AR13+AT13+AV13)*(1%/12*5)+((AR13+AT13+AV13)*(1%/12*5)+(AR13+AT13+AV13))*1%/12*7))</f>
        <v>2189.758104900186</v>
      </c>
      <c r="AY13" s="40"/>
      <c r="AZ13" s="39">
        <f>SUM(AR13:AX13)</f>
        <v>220634.62620717022</v>
      </c>
      <c r="BB13" s="39">
        <v>3000</v>
      </c>
      <c r="BC13" s="41"/>
      <c r="BD13" s="39">
        <f>'[3]People Forecast2'!K44</f>
        <v>-13474.643714000002</v>
      </c>
      <c r="BE13" s="41"/>
      <c r="BF13" s="39">
        <f>(((AZ13+BB13+BD13)*(1%/12*5)+((AZ13+BB13+BD13)*(1%/12*5)+(AZ13+BB13+BD13))*1%/12*7))</f>
        <v>2106.7078800617446</v>
      </c>
      <c r="BG13" s="40"/>
      <c r="BH13" s="39">
        <f>SUM(AZ13:BF13)</f>
        <v>212266.69037323195</v>
      </c>
    </row>
    <row r="14" spans="1:60" x14ac:dyDescent="0.25">
      <c r="A14" s="15" t="s">
        <v>29</v>
      </c>
      <c r="B14" s="39">
        <f>'[3]SUMMARY BUDGET MOVES '!I13+'[3]SUMMARY BUDGET MOVES '!R13+'[3]SUMMARY BUDGET MOVES '!S13</f>
        <v>4990.575181130378</v>
      </c>
      <c r="C14" s="40"/>
      <c r="D14" s="39">
        <f>SUM('[3]SUMMARY BUDGET MOVES '!J13)</f>
        <v>-234</v>
      </c>
      <c r="E14" s="40"/>
      <c r="F14" s="39">
        <f>B14+D14</f>
        <v>4756.575181130378</v>
      </c>
      <c r="G14" s="40"/>
      <c r="H14" s="39">
        <f>SUM('[3]SUMMARY BUDGET MOVES '!L13:N13)</f>
        <v>-82.58974854150415</v>
      </c>
      <c r="I14" s="40"/>
      <c r="J14" s="39">
        <f>F14+H14</f>
        <v>4673.9854325888737</v>
      </c>
      <c r="K14" s="40"/>
      <c r="L14" s="39">
        <f>SUM('[3]SUMMARY BUDGET MOVES '!P13)</f>
        <v>0</v>
      </c>
      <c r="M14" s="40"/>
      <c r="N14" s="39">
        <f>J14+L14</f>
        <v>4673.9854325888737</v>
      </c>
      <c r="O14" s="40"/>
      <c r="P14" s="39">
        <f>SUM('[3]SUMMARY BUDGET MOVES '!T13:Y13)</f>
        <v>0</v>
      </c>
      <c r="Q14" s="41"/>
      <c r="R14" s="39">
        <f>SUM('[3]SUMMARY BUDGET MOVES '!Z13:AB13)</f>
        <v>0</v>
      </c>
      <c r="S14" s="40"/>
      <c r="T14" s="39">
        <f>SUM(N14:R14)</f>
        <v>4673.9854325888737</v>
      </c>
      <c r="U14" s="40"/>
      <c r="V14" s="39">
        <f>SUM('[3]SUMMARY BUDGET MOVES '!AD13:AF13)+SUM('[3]SUMMARY BUDGET MOVES '!AL13:AO13)+'[3]SUMMARY BUDGET MOVES '!AJ13</f>
        <v>0</v>
      </c>
      <c r="W14" s="41"/>
      <c r="X14" s="39">
        <f>SUM('[3]SUMMARY BUDGET MOVES '!AP13:AR13)+'[3]SUMMARY BUDGET MOVES '!AJ13+'[3]SUMMARY BUDGET MOVES '!AK13</f>
        <v>-1432</v>
      </c>
      <c r="Y14" s="41"/>
      <c r="Z14" s="39">
        <f>'[3]SUMMARY BUDGET MOVES '!AT13+'[3]SUMMARY BUDGET MOVES '!AI13</f>
        <v>1.3035211155609128</v>
      </c>
      <c r="AA14" s="40"/>
      <c r="AB14" s="39">
        <f>SUM(T14:Z14)</f>
        <v>3243.2889537044348</v>
      </c>
      <c r="AC14" s="40"/>
      <c r="AD14" s="39">
        <v>0</v>
      </c>
      <c r="AE14" s="41"/>
      <c r="AF14" s="39">
        <f>'[3]People Forecast '!H27</f>
        <v>-1094</v>
      </c>
      <c r="AG14" s="41"/>
      <c r="AH14" s="39">
        <f>Z14*1.01</f>
        <v>1.3165563267165219</v>
      </c>
      <c r="AI14" s="40"/>
      <c r="AJ14" s="39">
        <f>SUM(AB14:AH14)</f>
        <v>2150.6055100311514</v>
      </c>
      <c r="AK14" s="42"/>
      <c r="AL14" s="39">
        <v>0</v>
      </c>
      <c r="AM14" s="41"/>
      <c r="AN14" s="39">
        <v>-250</v>
      </c>
      <c r="AO14" s="41"/>
      <c r="AP14" s="39">
        <v>0</v>
      </c>
      <c r="AQ14" s="40"/>
      <c r="AR14" s="39">
        <f>SUM(AJ14:AP14)</f>
        <v>1900.6055100311514</v>
      </c>
      <c r="AT14" s="39">
        <v>0</v>
      </c>
      <c r="AU14" s="41"/>
      <c r="AV14" s="39">
        <v>-250</v>
      </c>
      <c r="AW14" s="41"/>
      <c r="AX14" s="39">
        <f>AP14*1.01</f>
        <v>0</v>
      </c>
      <c r="AY14" s="40"/>
      <c r="AZ14" s="39">
        <f>SUM(AR14:AX14)</f>
        <v>1650.6055100311514</v>
      </c>
      <c r="BB14" s="39">
        <v>0</v>
      </c>
      <c r="BC14" s="41"/>
      <c r="BD14" s="39">
        <v>-250</v>
      </c>
      <c r="BE14" s="41"/>
      <c r="BF14" s="39">
        <f>AX14*1.01</f>
        <v>0</v>
      </c>
      <c r="BG14" s="40"/>
      <c r="BH14" s="39">
        <f>SUM(AZ14:BF14)</f>
        <v>1400.6055100311514</v>
      </c>
    </row>
    <row r="15" spans="1:60" x14ac:dyDescent="0.25">
      <c r="A15" s="15" t="s">
        <v>30</v>
      </c>
      <c r="B15" s="39">
        <f>'[3]SUMMARY BUDGET MOVES '!I14+'[3]SUMMARY BUDGET MOVES '!R14+'[3]SUMMARY BUDGET MOVES '!S14</f>
        <v>109738.8574125</v>
      </c>
      <c r="C15" s="40"/>
      <c r="D15" s="39">
        <f>SUM('[3]SUMMARY BUDGET MOVES '!J14)</f>
        <v>-433</v>
      </c>
      <c r="E15" s="40"/>
      <c r="F15" s="39">
        <f>B15+D15</f>
        <v>109305.8574125</v>
      </c>
      <c r="G15" s="40"/>
      <c r="H15" s="43">
        <f>SUM('[3]SUMMARY BUDGET MOVES '!L14:N14)</f>
        <v>-10903</v>
      </c>
      <c r="I15" s="44"/>
      <c r="J15" s="39">
        <f>F15+H15</f>
        <v>98402.857412500001</v>
      </c>
      <c r="K15" s="40"/>
      <c r="L15" s="39">
        <f>SUM('[3]SUMMARY BUDGET MOVES '!P14)</f>
        <v>-313</v>
      </c>
      <c r="M15" s="40"/>
      <c r="N15" s="39">
        <f>J15+L15</f>
        <v>98089.857412500001</v>
      </c>
      <c r="O15" s="40"/>
      <c r="P15" s="43">
        <f>SUM('[3]SUMMARY BUDGET MOVES '!T14:Y14)</f>
        <v>0</v>
      </c>
      <c r="Q15" s="41"/>
      <c r="R15" s="39">
        <f>SUM('[3]SUMMARY BUDGET MOVES '!Z14:AB14)</f>
        <v>0</v>
      </c>
      <c r="S15" s="40"/>
      <c r="T15" s="39">
        <f>SUM(N15:R15)</f>
        <v>98089.857412500001</v>
      </c>
      <c r="U15" s="40"/>
      <c r="V15" s="43">
        <f>SUM('[3]SUMMARY BUDGET MOVES '!AD14:AF14)+SUM('[3]SUMMARY BUDGET MOVES '!AL14:AO14)+'[3]SUMMARY BUDGET MOVES '!AJ14</f>
        <v>2500</v>
      </c>
      <c r="W15" s="41"/>
      <c r="X15" s="43">
        <f>SUM('[3]SUMMARY BUDGET MOVES '!AP14:AR14)+'[3]SUMMARY BUDGET MOVES '!AK14</f>
        <v>-7701.85</v>
      </c>
      <c r="Y15" s="41"/>
      <c r="Z15" s="39">
        <f>'[3]SUMMARY BUDGET MOVES '!AT14+'[3]SUMMARY BUDGET MOVES '!AI14</f>
        <v>1519.377591518296</v>
      </c>
      <c r="AA15" s="40"/>
      <c r="AB15" s="39">
        <f>SUM(T15:Z15)</f>
        <v>94407.385004018288</v>
      </c>
      <c r="AC15" s="40"/>
      <c r="AD15" s="43">
        <f>800+3121-730-770</f>
        <v>2421</v>
      </c>
      <c r="AE15" s="41"/>
      <c r="AF15" s="39">
        <f>'[3]People Forecast2'!H51+'[3]People Forecast2'!H52+'[3]People Forecast2'!H61+'[3]People Forecast2'!H60</f>
        <v>-5255.5349999999999</v>
      </c>
      <c r="AG15" s="41"/>
      <c r="AH15" s="39">
        <f>(((AB15+AD15)*(0%/12*5)+((AB15+AD15)*(1%/12*5)+(AB15+AD15))*1%/12*7))</f>
        <v>567.18571354784331</v>
      </c>
      <c r="AI15" s="40"/>
      <c r="AJ15" s="39">
        <f>SUM(AB15:AH15)</f>
        <v>92140.035717566134</v>
      </c>
      <c r="AK15" s="42"/>
      <c r="AL15" s="43">
        <v>800</v>
      </c>
      <c r="AM15" s="41"/>
      <c r="AN15" s="39">
        <f>'[3]People Forecast2'!I56+'[3]People Forecast2'!I65</f>
        <v>-10470.880500000001</v>
      </c>
      <c r="AO15" s="41"/>
      <c r="AP15" s="39">
        <f>(((AJ15+AL15)*(1%/12*5)+((AJ15+AL15)*(1%/12*5)+(AJ15+AL15))*1%/12*7))</f>
        <v>931.65931637712993</v>
      </c>
      <c r="AQ15" s="40"/>
      <c r="AR15" s="39">
        <f>SUM(AJ15:AP15)</f>
        <v>83400.814533943267</v>
      </c>
      <c r="AT15" s="43">
        <v>800</v>
      </c>
      <c r="AU15" s="41"/>
      <c r="AV15" s="39">
        <f>'[3]People Forecast2'!J56+'[3]People Forecast2'!J65</f>
        <v>-3540.2015000000001</v>
      </c>
      <c r="AW15" s="41"/>
      <c r="AX15" s="39">
        <f>(((AR15+AT15)*(1%/12*5)+((AR15+AT15)*(1%/12*5)+(AR15+AT15))*1%/12*7))</f>
        <v>844.05469291491045</v>
      </c>
      <c r="AY15" s="40"/>
      <c r="AZ15" s="39">
        <f>SUM(AR15:AX15)</f>
        <v>81504.667726858184</v>
      </c>
      <c r="BB15" s="43">
        <v>800</v>
      </c>
      <c r="BC15" s="41"/>
      <c r="BD15" s="39">
        <f>'[3]People Forecast2'!K56+'[3]People Forecast2'!K65</f>
        <v>-3575.69277375</v>
      </c>
      <c r="BE15" s="41"/>
      <c r="BF15" s="39">
        <f>(((AZ15+BB15)*(1%/12*5)+((AZ15+BB15)*(1%/12*5)+(AZ15+BB15))*1%/12*7))</f>
        <v>825.04713794249847</v>
      </c>
      <c r="BG15" s="40"/>
      <c r="BH15" s="39">
        <f>SUM(AZ15:BF15)</f>
        <v>79554.022091050691</v>
      </c>
    </row>
    <row r="16" spans="1:60" x14ac:dyDescent="0.25">
      <c r="A16" s="15" t="s">
        <v>31</v>
      </c>
      <c r="B16" s="39">
        <f>'[3]SUMMARY BUDGET MOVES '!I15+'[3]SUMMARY BUDGET MOVES '!R15+'[3]SUMMARY BUDGET MOVES '!S15</f>
        <v>6561.4680708333335</v>
      </c>
      <c r="C16" s="40"/>
      <c r="D16" s="39">
        <f>SUM('[3]SUMMARY BUDGET MOVES '!J15)</f>
        <v>0</v>
      </c>
      <c r="E16" s="40"/>
      <c r="F16" s="39">
        <f>B16+D16</f>
        <v>6561.4680708333335</v>
      </c>
      <c r="G16" s="40"/>
      <c r="H16" s="39">
        <f>SUM('[3]SUMMARY BUDGET MOVES '!L15:N15)</f>
        <v>-638</v>
      </c>
      <c r="I16" s="40"/>
      <c r="J16" s="39">
        <f>F16+H16</f>
        <v>5923.4680708333335</v>
      </c>
      <c r="K16" s="40"/>
      <c r="L16" s="39">
        <f>SUM('[3]SUMMARY BUDGET MOVES '!P15)</f>
        <v>200</v>
      </c>
      <c r="M16" s="40"/>
      <c r="N16" s="39">
        <f>J16+L16</f>
        <v>6123.4680708333335</v>
      </c>
      <c r="O16" s="40"/>
      <c r="P16" s="39">
        <f>SUM('[3]SUMMARY BUDGET MOVES '!T15:Y15)</f>
        <v>0</v>
      </c>
      <c r="Q16" s="41"/>
      <c r="R16" s="39">
        <f>SUM('[3]SUMMARY BUDGET MOVES '!Z15:AB15)</f>
        <v>0</v>
      </c>
      <c r="S16" s="40"/>
      <c r="T16" s="39">
        <f>SUM(N16:R16)</f>
        <v>6123.4680708333335</v>
      </c>
      <c r="U16" s="40"/>
      <c r="V16" s="39">
        <f>SUM('[3]SUMMARY BUDGET MOVES '!AD15:AF15)+SUM('[3]SUMMARY BUDGET MOVES '!AL15:AO15)+'[3]SUMMARY BUDGET MOVES '!AJ15</f>
        <v>726</v>
      </c>
      <c r="W16" s="41"/>
      <c r="X16" s="39">
        <f>SUM('[3]SUMMARY BUDGET MOVES '!AP15:AR15)+'[3]SUMMARY BUDGET MOVES '!AJ15+'[3]SUMMARY BUDGET MOVES '!AK15</f>
        <v>0</v>
      </c>
      <c r="Y16" s="41"/>
      <c r="Z16" s="39">
        <f>'[3]SUMMARY BUDGET MOVES '!AT15+'[3]SUMMARY BUDGET MOVES '!AI15</f>
        <v>65.618515001721647</v>
      </c>
      <c r="AA16" s="40"/>
      <c r="AB16" s="39">
        <f>SUM(T16:Z16)</f>
        <v>6915.0865858350553</v>
      </c>
      <c r="AC16" s="40"/>
      <c r="AD16" s="39">
        <v>-2400</v>
      </c>
      <c r="AE16" s="41"/>
      <c r="AF16" s="39">
        <v>0</v>
      </c>
      <c r="AG16" s="41"/>
      <c r="AH16" s="39">
        <f>(((AB16+AD16)*(1%/12*5)+((AB16+AD16)*(1%/12*5)+(AB16+AD16))*1%/12*7))</f>
        <v>45.26060754620071</v>
      </c>
      <c r="AI16" s="40"/>
      <c r="AJ16" s="39">
        <f>SUM(AB16:AH16)</f>
        <v>4560.3471933812561</v>
      </c>
      <c r="AK16" s="42"/>
      <c r="AL16" s="39">
        <v>1200</v>
      </c>
      <c r="AM16" s="41"/>
      <c r="AN16" s="39">
        <v>0</v>
      </c>
      <c r="AO16" s="41"/>
      <c r="AP16" s="39">
        <f>(((AJ16+AL16)*(1%/12*5)+((AJ16+AL16)*(1%/12*5)+(AJ16+AL16))*1%/12*7))</f>
        <v>57.743480372540574</v>
      </c>
      <c r="AQ16" s="40"/>
      <c r="AR16" s="39">
        <f>SUM(AJ16:AP16)</f>
        <v>5818.0906737537971</v>
      </c>
      <c r="AT16" s="39">
        <v>-800</v>
      </c>
      <c r="AU16" s="41"/>
      <c r="AV16" s="39">
        <v>0</v>
      </c>
      <c r="AW16" s="41"/>
      <c r="AX16" s="39">
        <f>(((AR16+AT16)*(1%/12*5)+((AR16+AT16)*(1%/12*5)+(AR16+AT16))*1%/12*7))</f>
        <v>50.302874219191708</v>
      </c>
      <c r="AY16" s="40"/>
      <c r="AZ16" s="39">
        <f>SUM(AR16:AX16)</f>
        <v>5068.3935479729889</v>
      </c>
      <c r="BB16" s="39">
        <v>-800</v>
      </c>
      <c r="BC16" s="41"/>
      <c r="BD16" s="39">
        <v>0</v>
      </c>
      <c r="BE16" s="41"/>
      <c r="BF16" s="39">
        <f>(((AZ16+BB16)*(1%/12*5)+((AZ16+BB16)*(1%/12*5)+(AZ16+BB16))*1%/12*7))</f>
        <v>42.787681156243124</v>
      </c>
      <c r="BG16" s="40"/>
      <c r="BH16" s="39">
        <f>SUM(AZ16:BF16)</f>
        <v>4311.1812291292317</v>
      </c>
    </row>
    <row r="17" spans="1:60" x14ac:dyDescent="0.25">
      <c r="A17" s="15" t="s">
        <v>32</v>
      </c>
      <c r="B17" s="39">
        <f>'[3]SUMMARY BUDGET MOVES '!I16+'[3]SUMMARY BUDGET MOVES '!R16+'[3]SUMMARY BUDGET MOVES '!S16</f>
        <v>1652.2351208333334</v>
      </c>
      <c r="C17" s="40"/>
      <c r="D17" s="39">
        <f>SUM('[3]SUMMARY BUDGET MOVES '!J16)</f>
        <v>0</v>
      </c>
      <c r="E17" s="40"/>
      <c r="F17" s="39">
        <f>B17+D17</f>
        <v>1652.2351208333334</v>
      </c>
      <c r="G17" s="40"/>
      <c r="H17" s="39">
        <f>SUM('[3]SUMMARY BUDGET MOVES '!L16:N16)</f>
        <v>-280</v>
      </c>
      <c r="I17" s="39"/>
      <c r="J17" s="39">
        <f>F17+H17</f>
        <v>1372.2351208333334</v>
      </c>
      <c r="K17" s="40"/>
      <c r="L17" s="39">
        <f>SUM('[3]SUMMARY BUDGET MOVES '!P16)</f>
        <v>-79</v>
      </c>
      <c r="M17" s="40"/>
      <c r="N17" s="39">
        <f>J17+L17</f>
        <v>1293.2351208333334</v>
      </c>
      <c r="O17" s="40"/>
      <c r="P17" s="39">
        <f>SUM('[3]SUMMARY BUDGET MOVES '!T16:Y16)</f>
        <v>0</v>
      </c>
      <c r="Q17" s="41"/>
      <c r="R17" s="39">
        <f>SUM('[3]SUMMARY BUDGET MOVES '!Z16:AB16)</f>
        <v>0</v>
      </c>
      <c r="S17" s="40"/>
      <c r="T17" s="39">
        <f>SUM(N17:R17)</f>
        <v>1293.2351208333334</v>
      </c>
      <c r="U17" s="40"/>
      <c r="V17" s="39">
        <f>SUM('[3]SUMMARY BUDGET MOVES '!AD16:AF16)+SUM('[3]SUMMARY BUDGET MOVES '!AL16:AO16)+'[3]SUMMARY BUDGET MOVES '!AJ16</f>
        <v>0</v>
      </c>
      <c r="W17" s="41"/>
      <c r="X17" s="39">
        <f>SUM('[3]SUMMARY BUDGET MOVES '!AP16:AR16)+'[3]SUMMARY BUDGET MOVES '!AJ16+'[3]SUMMARY BUDGET MOVES '!AK16</f>
        <v>0</v>
      </c>
      <c r="Y17" s="41"/>
      <c r="Z17" s="39">
        <f>'[3]SUMMARY BUDGET MOVES '!AT16+'[3]SUMMARY BUDGET MOVES '!AI16</f>
        <v>23.257441248098036</v>
      </c>
      <c r="AA17" s="40"/>
      <c r="AB17" s="39">
        <f>SUM(T17:Z17)</f>
        <v>1316.4925620814315</v>
      </c>
      <c r="AC17" s="40"/>
      <c r="AD17" s="39">
        <v>0</v>
      </c>
      <c r="AE17" s="41"/>
      <c r="AF17" s="39">
        <v>0</v>
      </c>
      <c r="AG17" s="41"/>
      <c r="AH17" s="39">
        <f>(((AB17+AD17)*(1%/12*5)+((AB17+AD17)*(1%/12*5)+(AB17+AD17))*1%/12*7))</f>
        <v>13.196923703920461</v>
      </c>
      <c r="AI17" s="40"/>
      <c r="AJ17" s="39">
        <f>SUM(AB17:AH17)</f>
        <v>1329.689485785352</v>
      </c>
      <c r="AK17" s="42"/>
      <c r="AL17" s="39">
        <v>0</v>
      </c>
      <c r="AM17" s="41"/>
      <c r="AN17" s="39">
        <v>0</v>
      </c>
      <c r="AO17" s="41"/>
      <c r="AP17" s="39">
        <f>(((AJ17+AL17)*(1%/12*5)+((AJ17+AL17)*(1%/12*5)+(AJ17+AL17))*1%/12*7))</f>
        <v>13.329213699521915</v>
      </c>
      <c r="AQ17" s="40"/>
      <c r="AR17" s="39">
        <f>SUM(AJ17:AP17)</f>
        <v>1343.0186994848739</v>
      </c>
      <c r="AT17" s="39">
        <v>0</v>
      </c>
      <c r="AU17" s="41"/>
      <c r="AV17" s="39">
        <v>0</v>
      </c>
      <c r="AW17" s="41"/>
      <c r="AX17" s="39">
        <f>(((AR17+AT17)*(1%/12*5)+((AR17+AT17)*(1%/12*5)+(AR17+AT17))*1%/12*7))</f>
        <v>13.462829810461216</v>
      </c>
      <c r="AY17" s="40"/>
      <c r="AZ17" s="39">
        <f>SUM(AR17:AX17)</f>
        <v>1356.4815292953351</v>
      </c>
      <c r="BB17" s="39">
        <v>0</v>
      </c>
      <c r="BC17" s="41"/>
      <c r="BD17" s="39">
        <v>0</v>
      </c>
      <c r="BE17" s="41"/>
      <c r="BF17" s="39">
        <f>(((AZ17+BB17)*(1%/12*5)+((AZ17+BB17)*(1%/12*5)+(AZ17+BB17))*1%/12*7))</f>
        <v>13.597785330123724</v>
      </c>
      <c r="BG17" s="40"/>
      <c r="BH17" s="39">
        <f>SUM(AZ17:BF17)</f>
        <v>1370.0793146254589</v>
      </c>
    </row>
    <row r="18" spans="1:60" x14ac:dyDescent="0.25">
      <c r="A18" s="15" t="s">
        <v>33</v>
      </c>
      <c r="B18" s="39">
        <f>SUM(B13:B17)</f>
        <v>362901.41417974257</v>
      </c>
      <c r="C18" s="40"/>
      <c r="D18" s="39">
        <f>SUM(D13:D17)</f>
        <v>-3531</v>
      </c>
      <c r="E18" s="40"/>
      <c r="F18" s="39">
        <f>SUM(F13:F17)</f>
        <v>359370.41417974257</v>
      </c>
      <c r="G18" s="39" t="s">
        <v>0</v>
      </c>
      <c r="H18" s="39">
        <f>SUM(H13:H17)</f>
        <v>-15722.971786681283</v>
      </c>
      <c r="I18" s="39" t="s">
        <v>0</v>
      </c>
      <c r="J18" s="39">
        <f>SUM(J13:J17)</f>
        <v>343647.4423930613</v>
      </c>
      <c r="K18" s="39" t="s">
        <v>0</v>
      </c>
      <c r="L18" s="39">
        <f>SUM(L13:L17)</f>
        <v>-1277</v>
      </c>
      <c r="M18" s="39" t="s">
        <v>0</v>
      </c>
      <c r="N18" s="39">
        <f>SUM(N13:N17)</f>
        <v>342370.4423930613</v>
      </c>
      <c r="O18" s="39" t="s">
        <v>0</v>
      </c>
      <c r="P18" s="39">
        <f>SUM(P13:P17)</f>
        <v>0</v>
      </c>
      <c r="Q18" s="39" t="s">
        <v>0</v>
      </c>
      <c r="R18" s="39">
        <f>SUM(R13:R17)</f>
        <v>0</v>
      </c>
      <c r="S18" s="39" t="s">
        <v>0</v>
      </c>
      <c r="T18" s="39">
        <f>SUM(T13:T17)</f>
        <v>342370.4423930613</v>
      </c>
      <c r="U18" s="39" t="s">
        <v>0</v>
      </c>
      <c r="V18" s="39">
        <f>SUM(V13:V17)</f>
        <v>12645</v>
      </c>
      <c r="W18" s="39" t="s">
        <v>0</v>
      </c>
      <c r="X18" s="39">
        <f>SUM(X13:X17)</f>
        <v>-18644.849999999999</v>
      </c>
      <c r="Y18" s="39" t="s">
        <v>0</v>
      </c>
      <c r="Z18" s="39">
        <f>SUM(Z13:Z17)</f>
        <v>3929.3548108608211</v>
      </c>
      <c r="AA18" s="39" t="s">
        <v>0</v>
      </c>
      <c r="AB18" s="39">
        <f>SUM(AB13:AB17)</f>
        <v>340299.94720392209</v>
      </c>
      <c r="AC18" s="39" t="s">
        <v>0</v>
      </c>
      <c r="AD18" s="39">
        <f>SUM(AD13:AD17)</f>
        <v>11966</v>
      </c>
      <c r="AE18" s="39" t="s">
        <v>0</v>
      </c>
      <c r="AF18" s="39">
        <f>SUM(AF13:AF17)</f>
        <v>-19882.618333333332</v>
      </c>
      <c r="AG18" s="39" t="s">
        <v>0</v>
      </c>
      <c r="AH18" s="39">
        <f>SUM(AH13:AH17)</f>
        <v>3040.18687703351</v>
      </c>
      <c r="AI18" s="39" t="s">
        <v>0</v>
      </c>
      <c r="AJ18" s="39">
        <f>SUM(AJ13:AJ17)</f>
        <v>335423.51574762235</v>
      </c>
      <c r="AK18" s="45" t="s">
        <v>0</v>
      </c>
      <c r="AL18" s="39">
        <f>SUM(AL13:AL17)</f>
        <v>5000</v>
      </c>
      <c r="AM18" s="39" t="s">
        <v>0</v>
      </c>
      <c r="AN18" s="39">
        <f>SUM(AN13:AN17)</f>
        <v>-22378.360500000003</v>
      </c>
      <c r="AO18" s="39" t="s">
        <v>0</v>
      </c>
      <c r="AP18" s="39">
        <f>SUM(AP13:AP17)</f>
        <v>3274.0928718608525</v>
      </c>
      <c r="AQ18" s="39" t="s">
        <v>0</v>
      </c>
      <c r="AR18" s="39">
        <f>SUM(AR13:AR17)</f>
        <v>321319.24811948318</v>
      </c>
      <c r="AT18" s="39">
        <f>SUM(AT13:AT17)</f>
        <v>3000</v>
      </c>
      <c r="AU18" s="39" t="s">
        <v>0</v>
      </c>
      <c r="AV18" s="39">
        <f>SUM(AV13:AV17)</f>
        <v>-17202.052100000001</v>
      </c>
      <c r="AW18" s="39" t="s">
        <v>0</v>
      </c>
      <c r="AX18" s="39">
        <f>SUM(AX13:AX17)</f>
        <v>3097.5785018447496</v>
      </c>
      <c r="AY18" s="39" t="s">
        <v>0</v>
      </c>
      <c r="AZ18" s="39">
        <f>SUM(AZ13:AZ17)</f>
        <v>310214.77452132793</v>
      </c>
      <c r="BB18" s="39">
        <f>SUM(BB13:BB17)</f>
        <v>3000</v>
      </c>
      <c r="BC18" s="39" t="s">
        <v>0</v>
      </c>
      <c r="BD18" s="39">
        <f>SUM(BD13:BD17)</f>
        <v>-17300.336487750003</v>
      </c>
      <c r="BE18" s="39" t="s">
        <v>0</v>
      </c>
      <c r="BF18" s="39">
        <f>SUM(BF13:BF17)</f>
        <v>2988.1404844906101</v>
      </c>
      <c r="BG18" s="39" t="s">
        <v>0</v>
      </c>
      <c r="BH18" s="39">
        <f>SUM(BH13:BH17)</f>
        <v>298902.57851806853</v>
      </c>
    </row>
    <row r="19" spans="1:60" x14ac:dyDescent="0.25">
      <c r="A19" s="15" t="s">
        <v>34</v>
      </c>
      <c r="B19" s="39">
        <f>'[3]SUMMARY BUDGET MOVES '!I18+'[3]SUMMARY BUDGET MOVES '!R18+'[3]SUMMARY BUDGET MOVES '!S18</f>
        <v>3733.87</v>
      </c>
      <c r="C19" s="40"/>
      <c r="D19" s="39">
        <f>SUM('[3]SUMMARY BUDGET MOVES '!J18)</f>
        <v>0</v>
      </c>
      <c r="E19" s="40"/>
      <c r="F19" s="39">
        <f t="shared" ref="F19:F44" si="0">B19+D19</f>
        <v>3733.87</v>
      </c>
      <c r="G19" s="40"/>
      <c r="H19" s="39">
        <f>SUM('[3]SUMMARY BUDGET MOVES '!L18:N18)</f>
        <v>0</v>
      </c>
      <c r="I19" s="40"/>
      <c r="J19" s="39">
        <f t="shared" ref="J19:J44" si="1">F19+H19</f>
        <v>3733.87</v>
      </c>
      <c r="K19" s="40"/>
      <c r="L19" s="39">
        <f>SUM('[3]SUMMARY BUDGET MOVES '!P18)</f>
        <v>-324</v>
      </c>
      <c r="M19" s="40"/>
      <c r="N19" s="39">
        <f t="shared" ref="N19:N45" si="2">J19+L19</f>
        <v>3409.87</v>
      </c>
      <c r="O19" s="40"/>
      <c r="P19" s="39">
        <f>SUM('[3]SUMMARY BUDGET MOVES '!T18:Y18)</f>
        <v>0</v>
      </c>
      <c r="Q19" s="41"/>
      <c r="R19" s="39">
        <f>SUM('[3]SUMMARY BUDGET MOVES '!Z18:AB18)</f>
        <v>0</v>
      </c>
      <c r="S19" s="40"/>
      <c r="T19" s="39">
        <f t="shared" ref="T19:T45" si="3">SUM(N19:R19)</f>
        <v>3409.87</v>
      </c>
      <c r="U19" s="40"/>
      <c r="V19" s="39">
        <f>SUM('[3]SUMMARY BUDGET MOVES '!AD18:AF18)+SUM('[3]SUMMARY BUDGET MOVES '!AL18:AO18)+'[3]SUMMARY BUDGET MOVES '!AJ18</f>
        <v>0</v>
      </c>
      <c r="W19" s="41"/>
      <c r="X19" s="39">
        <f>SUM('[3]SUMMARY BUDGET MOVES '!AP18:AR18)+'[3]SUMMARY BUDGET MOVES '!AJ18+'[3]SUMMARY BUDGET MOVES '!AK18</f>
        <v>0</v>
      </c>
      <c r="Y19" s="41"/>
      <c r="Z19" s="39">
        <f>'[3]SUMMARY BUDGET MOVES '!AT18+'[3]SUMMARY BUDGET MOVES '!AI18</f>
        <v>68.197400000000016</v>
      </c>
      <c r="AA19" s="40"/>
      <c r="AB19" s="39">
        <f t="shared" ref="AB19:AB45" si="4">SUM(T19:Z19)</f>
        <v>3478.0673999999999</v>
      </c>
      <c r="AC19" s="40"/>
      <c r="AD19" s="39">
        <v>0</v>
      </c>
      <c r="AE19" s="41"/>
      <c r="AF19" s="39">
        <v>0</v>
      </c>
      <c r="AG19" s="41"/>
      <c r="AH19" s="39">
        <f>(AB19*5%/12*5)+(AB19*5%/12*5)*(5%/12*7)+(AB19+AD19)*5%/12*7</f>
        <v>176.01677901041666</v>
      </c>
      <c r="AI19" s="40"/>
      <c r="AJ19" s="39">
        <f t="shared" ref="AJ19:AJ45" si="5">SUM(AB19:AH19)</f>
        <v>3654.0841790104164</v>
      </c>
      <c r="AK19" s="40"/>
      <c r="AL19" s="39">
        <v>0</v>
      </c>
      <c r="AM19" s="41"/>
      <c r="AN19" s="39">
        <v>0</v>
      </c>
      <c r="AO19" s="41"/>
      <c r="AP19" s="39">
        <f>(AJ19*5%/12*5)+(AJ19*5%/12*5)*(5%/12*7)+(AJ19+AL19)*5%/12*7</f>
        <v>184.9245726009612</v>
      </c>
      <c r="AQ19" s="40"/>
      <c r="AR19" s="39">
        <f t="shared" ref="AR19:AR45" si="6">SUM(AJ19:AP19)</f>
        <v>3839.0087516113776</v>
      </c>
      <c r="AT19" s="39">
        <v>0</v>
      </c>
      <c r="AU19" s="41"/>
      <c r="AV19" s="39">
        <v>0</v>
      </c>
      <c r="AW19" s="41"/>
      <c r="AX19" s="39">
        <f>(AR19*5%/12*5)+(AR19*5%/12*5)*(5%/12*7)+(AR19+AT19)*5%/12*7</f>
        <v>194.28316859283274</v>
      </c>
      <c r="AY19" s="40"/>
      <c r="AZ19" s="39">
        <f t="shared" ref="AZ19:AZ45" si="7">SUM(AR19:AX19)</f>
        <v>4033.2919202042103</v>
      </c>
      <c r="BB19" s="39">
        <v>0</v>
      </c>
      <c r="BC19" s="41"/>
      <c r="BD19" s="39">
        <v>0</v>
      </c>
      <c r="BE19" s="41"/>
      <c r="BF19" s="39">
        <f>(AZ19*5%/12*5)+(AZ19*5%/12*5)*(5%/12*7)+(AZ19+BB19)*5%/12*7</f>
        <v>204.11538103116794</v>
      </c>
      <c r="BG19" s="40"/>
      <c r="BH19" s="39">
        <f t="shared" ref="BH19:BH45" si="8">SUM(AZ19:BF19)</f>
        <v>4237.4073012353783</v>
      </c>
    </row>
    <row r="20" spans="1:60" x14ac:dyDescent="0.25">
      <c r="A20" s="15" t="s">
        <v>35</v>
      </c>
      <c r="B20" s="39">
        <f>'[3]SUMMARY BUDGET MOVES '!I19+'[3]SUMMARY BUDGET MOVES '!R19+'[3]SUMMARY BUDGET MOVES '!S19</f>
        <v>7709.89</v>
      </c>
      <c r="C20" s="40"/>
      <c r="D20" s="39">
        <f>SUM('[3]SUMMARY BUDGET MOVES '!J19)</f>
        <v>0</v>
      </c>
      <c r="E20" s="40"/>
      <c r="F20" s="39">
        <f t="shared" si="0"/>
        <v>7709.89</v>
      </c>
      <c r="G20" s="40"/>
      <c r="H20" s="39">
        <f>SUM('[3]SUMMARY BUDGET MOVES '!L19:N19)</f>
        <v>-7592</v>
      </c>
      <c r="I20" s="40"/>
      <c r="J20" s="39">
        <f t="shared" si="1"/>
        <v>117.89000000000033</v>
      </c>
      <c r="K20" s="40"/>
      <c r="L20" s="39">
        <f>SUM('[3]SUMMARY BUDGET MOVES '!P19)</f>
        <v>0</v>
      </c>
      <c r="M20" s="40"/>
      <c r="N20" s="39">
        <f t="shared" si="2"/>
        <v>117.89000000000033</v>
      </c>
      <c r="O20" s="40"/>
      <c r="P20" s="39">
        <f>SUM('[3]SUMMARY BUDGET MOVES '!T19:Y19)</f>
        <v>0</v>
      </c>
      <c r="Q20" s="41"/>
      <c r="R20" s="39">
        <f>SUM('[3]SUMMARY BUDGET MOVES '!Z19:AB19)</f>
        <v>0</v>
      </c>
      <c r="S20" s="40"/>
      <c r="T20" s="39">
        <f t="shared" si="3"/>
        <v>117.89000000000033</v>
      </c>
      <c r="U20" s="40"/>
      <c r="V20" s="39">
        <f>SUM('[3]SUMMARY BUDGET MOVES '!AD19:AF19)+SUM('[3]SUMMARY BUDGET MOVES '!AL19:AO19)+'[3]SUMMARY BUDGET MOVES '!AJ19</f>
        <v>0</v>
      </c>
      <c r="W20" s="41"/>
      <c r="X20" s="39">
        <f>SUM('[3]SUMMARY BUDGET MOVES '!AP19:AR19)+'[3]SUMMARY BUDGET MOVES '!AJ19+'[3]SUMMARY BUDGET MOVES '!AK19</f>
        <v>0</v>
      </c>
      <c r="Y20" s="41"/>
      <c r="Z20" s="39">
        <f>'[3]SUMMARY BUDGET MOVES '!AT19+'[3]SUMMARY BUDGET MOVES '!AI19</f>
        <v>2.3577999999999992</v>
      </c>
      <c r="AA20" s="40"/>
      <c r="AB20" s="39">
        <f t="shared" si="4"/>
        <v>120.24780000000032</v>
      </c>
      <c r="AC20" s="40"/>
      <c r="AD20" s="39">
        <v>0</v>
      </c>
      <c r="AE20" s="41"/>
      <c r="AF20" s="39">
        <v>0</v>
      </c>
      <c r="AG20" s="41"/>
      <c r="AH20" s="39">
        <f>(AB20*2%/12*5)+(AB20*2%/12*5)*(2%/12*7)+(AB20+AD20)*2%/12*7</f>
        <v>2.4166467583333398</v>
      </c>
      <c r="AI20" s="40"/>
      <c r="AJ20" s="39">
        <f t="shared" si="5"/>
        <v>122.66444675833367</v>
      </c>
      <c r="AK20" s="40"/>
      <c r="AL20" s="39">
        <v>0</v>
      </c>
      <c r="AM20" s="41"/>
      <c r="AN20" s="39">
        <v>0</v>
      </c>
      <c r="AO20" s="41"/>
      <c r="AP20" s="39">
        <f>(AJ20*2%/12*5)+(AJ20*2%/12*5)*(2%/12*7)+(AJ20+AL20)*2%/12*7</f>
        <v>2.4652146452681785</v>
      </c>
      <c r="AQ20" s="40"/>
      <c r="AR20" s="39">
        <f t="shared" si="6"/>
        <v>125.12966140360184</v>
      </c>
      <c r="AT20" s="39">
        <v>0</v>
      </c>
      <c r="AU20" s="41"/>
      <c r="AV20" s="39">
        <v>0</v>
      </c>
      <c r="AW20" s="41"/>
      <c r="AX20" s="39">
        <f>(AR20*2%/12*5)+(AR20*2%/12*5)*(2%/12*7)+(AR20+AT20)*2%/12*7</f>
        <v>2.5147586118196088</v>
      </c>
      <c r="AY20" s="40"/>
      <c r="AZ20" s="39">
        <f t="shared" si="7"/>
        <v>127.64442001542145</v>
      </c>
      <c r="BB20" s="39">
        <v>0</v>
      </c>
      <c r="BC20" s="41"/>
      <c r="BD20" s="39">
        <v>0</v>
      </c>
      <c r="BE20" s="41"/>
      <c r="BF20" s="39">
        <f>(AZ20*2%/12*5)+(AZ20*2%/12*5)*(2%/12*7)+(AZ20+BB20)*2%/12*7</f>
        <v>2.5652982744765946</v>
      </c>
      <c r="BG20" s="40"/>
      <c r="BH20" s="39">
        <f t="shared" si="8"/>
        <v>130.20971828989803</v>
      </c>
    </row>
    <row r="21" spans="1:60" x14ac:dyDescent="0.25">
      <c r="A21" s="15" t="s">
        <v>36</v>
      </c>
      <c r="B21" s="39">
        <f>'[3]SUMMARY BUDGET MOVES '!I20+'[3]SUMMARY BUDGET MOVES '!R20+'[3]SUMMARY BUDGET MOVES '!S20</f>
        <v>1727.9750000000001</v>
      </c>
      <c r="C21" s="40"/>
      <c r="D21" s="39">
        <f>SUM('[3]SUMMARY BUDGET MOVES '!J20)</f>
        <v>0</v>
      </c>
      <c r="E21" s="40"/>
      <c r="F21" s="39">
        <f t="shared" si="0"/>
        <v>1727.9750000000001</v>
      </c>
      <c r="G21" s="40"/>
      <c r="H21" s="39">
        <f>SUM('[3]SUMMARY BUDGET MOVES '!L20:N20)</f>
        <v>9</v>
      </c>
      <c r="I21" s="40"/>
      <c r="J21" s="39">
        <f t="shared" si="1"/>
        <v>1736.9750000000001</v>
      </c>
      <c r="K21" s="40"/>
      <c r="L21" s="39">
        <f>SUM('[3]SUMMARY BUDGET MOVES '!P20)</f>
        <v>0</v>
      </c>
      <c r="M21" s="40"/>
      <c r="N21" s="39">
        <f t="shared" si="2"/>
        <v>1736.9750000000001</v>
      </c>
      <c r="O21" s="40"/>
      <c r="P21" s="39">
        <f>SUM('[3]SUMMARY BUDGET MOVES '!T20:Y20)</f>
        <v>0</v>
      </c>
      <c r="Q21" s="41"/>
      <c r="R21" s="39">
        <f>SUM('[3]SUMMARY BUDGET MOVES '!Z20:AB20)</f>
        <v>0</v>
      </c>
      <c r="S21" s="40"/>
      <c r="T21" s="39">
        <f t="shared" si="3"/>
        <v>1736.9750000000001</v>
      </c>
      <c r="U21" s="40"/>
      <c r="V21" s="39">
        <f>SUM('[3]SUMMARY BUDGET MOVES '!AD20:AF20)+SUM('[3]SUMMARY BUDGET MOVES '!AL20:AO20)+'[3]SUMMARY BUDGET MOVES '!AJ20</f>
        <v>0</v>
      </c>
      <c r="W21" s="41"/>
      <c r="X21" s="39">
        <f>SUM('[3]SUMMARY BUDGET MOVES '!AP20:AR20)+'[3]SUMMARY BUDGET MOVES '!AJ20+'[3]SUMMARY BUDGET MOVES '!AK20</f>
        <v>0</v>
      </c>
      <c r="Y21" s="41"/>
      <c r="Z21" s="39">
        <f>'[3]SUMMARY BUDGET MOVES '!AT20+'[3]SUMMARY BUDGET MOVES '!AI20</f>
        <v>34.7395</v>
      </c>
      <c r="AA21" s="40"/>
      <c r="AB21" s="39">
        <f t="shared" si="4"/>
        <v>1771.7145</v>
      </c>
      <c r="AC21" s="40"/>
      <c r="AD21" s="39">
        <v>0</v>
      </c>
      <c r="AE21" s="41"/>
      <c r="AF21" s="39">
        <v>0</v>
      </c>
      <c r="AG21" s="41"/>
      <c r="AH21" s="39">
        <f>(AB21*2%/12*5)+(AB21*2%/12*5)*(2%/12*7)+(AB21+AD21)*2%/12*7</f>
        <v>35.606540020833336</v>
      </c>
      <c r="AI21" s="40"/>
      <c r="AJ21" s="39">
        <f t="shared" si="5"/>
        <v>1807.3210400208334</v>
      </c>
      <c r="AK21" s="40"/>
      <c r="AL21" s="39">
        <v>0</v>
      </c>
      <c r="AM21" s="41"/>
      <c r="AN21" s="39">
        <v>0</v>
      </c>
      <c r="AO21" s="41"/>
      <c r="AP21" s="39">
        <f>(AJ21*2%/12*5)+(AJ21*2%/12*5)*(2%/12*7)+(AJ21+AL21)*2%/12*7</f>
        <v>36.322132568196473</v>
      </c>
      <c r="AQ21" s="40"/>
      <c r="AR21" s="39">
        <f t="shared" si="6"/>
        <v>1843.6431725890297</v>
      </c>
      <c r="AT21" s="39">
        <v>0</v>
      </c>
      <c r="AU21" s="41"/>
      <c r="AV21" s="39">
        <v>0</v>
      </c>
      <c r="AW21" s="41"/>
      <c r="AX21" s="39">
        <f>(AR21*2%/12*5)+(AR21*2%/12*5)*(2%/12*7)+(AR21+AT21)*2%/12*7</f>
        <v>37.05210653800453</v>
      </c>
      <c r="AY21" s="40"/>
      <c r="AZ21" s="39">
        <f t="shared" si="7"/>
        <v>1880.6952791270344</v>
      </c>
      <c r="BB21" s="39">
        <v>0</v>
      </c>
      <c r="BC21" s="41"/>
      <c r="BD21" s="39">
        <v>0</v>
      </c>
      <c r="BE21" s="41"/>
      <c r="BF21" s="39">
        <f>(AZ21*2%/12*5)+(AZ21*2%/12*5)*(2%/12*7)+(AZ21+BB21)*2%/12*7</f>
        <v>37.796750956900262</v>
      </c>
      <c r="BG21" s="40"/>
      <c r="BH21" s="39">
        <f t="shared" si="8"/>
        <v>1918.4920300839347</v>
      </c>
    </row>
    <row r="22" spans="1:60" x14ac:dyDescent="0.25">
      <c r="A22" s="15" t="s">
        <v>37</v>
      </c>
      <c r="B22" s="39">
        <f>'[3]SUMMARY BUDGET MOVES '!I21+'[3]SUMMARY BUDGET MOVES '!R21+'[3]SUMMARY BUDGET MOVES '!S21</f>
        <v>670.13900000000001</v>
      </c>
      <c r="C22" s="40"/>
      <c r="D22" s="39">
        <f>SUM('[3]SUMMARY BUDGET MOVES '!J21)</f>
        <v>0</v>
      </c>
      <c r="E22" s="40"/>
      <c r="F22" s="39">
        <f t="shared" si="0"/>
        <v>670.13900000000001</v>
      </c>
      <c r="G22" s="40"/>
      <c r="H22" s="39">
        <f>SUM('[3]SUMMARY BUDGET MOVES '!L21:N21)</f>
        <v>-115</v>
      </c>
      <c r="I22" s="40"/>
      <c r="J22" s="39">
        <f t="shared" si="1"/>
        <v>555.13900000000001</v>
      </c>
      <c r="K22" s="40"/>
      <c r="L22" s="39">
        <f>SUM('[3]SUMMARY BUDGET MOVES '!P21)</f>
        <v>0</v>
      </c>
      <c r="M22" s="40"/>
      <c r="N22" s="39">
        <f t="shared" si="2"/>
        <v>555.13900000000001</v>
      </c>
      <c r="O22" s="40"/>
      <c r="P22" s="39">
        <f>SUM('[3]SUMMARY BUDGET MOVES '!T21:Y21)</f>
        <v>0</v>
      </c>
      <c r="Q22" s="41"/>
      <c r="R22" s="39">
        <f>SUM('[3]SUMMARY BUDGET MOVES '!Z21:AB21)</f>
        <v>0</v>
      </c>
      <c r="S22" s="40"/>
      <c r="T22" s="39">
        <f t="shared" si="3"/>
        <v>555.13900000000001</v>
      </c>
      <c r="U22" s="40"/>
      <c r="V22" s="39">
        <f>SUM('[3]SUMMARY BUDGET MOVES '!AD21:AF21)+SUM('[3]SUMMARY BUDGET MOVES '!AL21:AO21)+'[3]SUMMARY BUDGET MOVES '!AJ21</f>
        <v>0</v>
      </c>
      <c r="W22" s="41"/>
      <c r="X22" s="39">
        <f>SUM('[3]SUMMARY BUDGET MOVES '!AP21:AR21)+'[3]SUMMARY BUDGET MOVES '!AJ21+'[3]SUMMARY BUDGET MOVES '!AK21</f>
        <v>0</v>
      </c>
      <c r="Y22" s="41"/>
      <c r="Z22" s="39">
        <f>'[3]SUMMARY BUDGET MOVES '!AT21+'[3]SUMMARY BUDGET MOVES '!AI21</f>
        <v>11.102780000000001</v>
      </c>
      <c r="AA22" s="40"/>
      <c r="AB22" s="39">
        <f t="shared" si="4"/>
        <v>566.24178000000006</v>
      </c>
      <c r="AC22" s="40"/>
      <c r="AD22" s="39">
        <v>0</v>
      </c>
      <c r="AE22" s="41"/>
      <c r="AF22" s="39">
        <v>0</v>
      </c>
      <c r="AG22" s="41"/>
      <c r="AH22" s="39">
        <f>(AB22*2%/12*5)+(AB22*2%/12*5)*(2%/12*7)+(AB22+AD22)*2%/12*7</f>
        <v>11.37988688416667</v>
      </c>
      <c r="AI22" s="40"/>
      <c r="AJ22" s="39">
        <f t="shared" si="5"/>
        <v>577.62166688416676</v>
      </c>
      <c r="AK22" s="40"/>
      <c r="AL22" s="39">
        <v>0</v>
      </c>
      <c r="AM22" s="41"/>
      <c r="AN22" s="39">
        <v>0</v>
      </c>
      <c r="AO22" s="41"/>
      <c r="AP22" s="39">
        <f>(AJ22*2%/12*5)+(AJ22*2%/12*5)*(2%/12*7)+(AJ22+AL22)*2%/12*7</f>
        <v>11.608590999741519</v>
      </c>
      <c r="AQ22" s="40"/>
      <c r="AR22" s="39">
        <f t="shared" si="6"/>
        <v>589.23025788390828</v>
      </c>
      <c r="AT22" s="39">
        <v>0</v>
      </c>
      <c r="AU22" s="41"/>
      <c r="AV22" s="39">
        <v>0</v>
      </c>
      <c r="AW22" s="41"/>
      <c r="AX22" s="39">
        <f>(AR22*2%/12*5)+(AR22*2%/12*5)*(2%/12*7)+(AR22+AT22)*2%/12*7</f>
        <v>11.841891432750213</v>
      </c>
      <c r="AY22" s="40"/>
      <c r="AZ22" s="39">
        <f t="shared" si="7"/>
        <v>601.07214931665851</v>
      </c>
      <c r="BB22" s="39">
        <v>0</v>
      </c>
      <c r="BC22" s="41"/>
      <c r="BD22" s="39">
        <v>0</v>
      </c>
      <c r="BE22" s="41"/>
      <c r="BF22" s="39">
        <f>(AZ22*2%/12*5)+(AZ22*2%/12*5)*(2%/12*7)+(AZ22+BB22)*2%/12*7</f>
        <v>12.079880556405623</v>
      </c>
      <c r="BG22" s="40"/>
      <c r="BH22" s="39">
        <f t="shared" si="8"/>
        <v>613.15202987306418</v>
      </c>
    </row>
    <row r="23" spans="1:60" x14ac:dyDescent="0.25">
      <c r="A23" s="15" t="s">
        <v>38</v>
      </c>
      <c r="B23" s="39">
        <f>'[3]SUMMARY BUDGET MOVES '!I22+'[3]SUMMARY BUDGET MOVES '!R22+'[3]SUMMARY BUDGET MOVES '!S22</f>
        <v>11886.371999999999</v>
      </c>
      <c r="C23" s="40"/>
      <c r="D23" s="39">
        <f>SUM('[3]SUMMARY BUDGET MOVES '!J22)</f>
        <v>0</v>
      </c>
      <c r="E23" s="40"/>
      <c r="F23" s="39">
        <f t="shared" si="0"/>
        <v>11886.371999999999</v>
      </c>
      <c r="G23" s="40"/>
      <c r="H23" s="39">
        <f>SUM('[3]SUMMARY BUDGET MOVES '!L22:N22)</f>
        <v>-455</v>
      </c>
      <c r="I23" s="40"/>
      <c r="J23" s="39">
        <f t="shared" si="1"/>
        <v>11431.371999999999</v>
      </c>
      <c r="K23" s="40"/>
      <c r="L23" s="39">
        <f>SUM('[3]SUMMARY BUDGET MOVES '!P22)</f>
        <v>-179</v>
      </c>
      <c r="M23" s="40"/>
      <c r="N23" s="39">
        <f t="shared" si="2"/>
        <v>11252.371999999999</v>
      </c>
      <c r="O23" s="40"/>
      <c r="P23" s="39">
        <f>SUM('[3]SUMMARY BUDGET MOVES '!T22:Y22)</f>
        <v>0</v>
      </c>
      <c r="Q23" s="41"/>
      <c r="R23" s="39">
        <f>SUM('[3]SUMMARY BUDGET MOVES '!Z22:AB22)</f>
        <v>0</v>
      </c>
      <c r="S23" s="40"/>
      <c r="T23" s="39">
        <f t="shared" si="3"/>
        <v>11252.371999999999</v>
      </c>
      <c r="U23" s="40"/>
      <c r="V23" s="39">
        <f>SUM('[3]SUMMARY BUDGET MOVES '!AD22:AF22)+SUM('[3]SUMMARY BUDGET MOVES '!AL22:AO22)+'[3]SUMMARY BUDGET MOVES '!AJ22</f>
        <v>64</v>
      </c>
      <c r="W23" s="41"/>
      <c r="X23" s="39">
        <f>SUM('[3]SUMMARY BUDGET MOVES '!AP22:AR22)+'[3]SUMMARY BUDGET MOVES '!AJ22+'[3]SUMMARY BUDGET MOVES '!AK22</f>
        <v>-100</v>
      </c>
      <c r="Y23" s="41"/>
      <c r="Z23" s="39">
        <f>'[3]SUMMARY BUDGET MOVES '!AT22+'[3]SUMMARY BUDGET MOVES '!AI22</f>
        <v>358.82065</v>
      </c>
      <c r="AA23" s="40"/>
      <c r="AB23" s="39">
        <f t="shared" si="4"/>
        <v>11575.192649999999</v>
      </c>
      <c r="AC23" s="40"/>
      <c r="AD23" s="39">
        <v>500</v>
      </c>
      <c r="AE23" s="41"/>
      <c r="AF23" s="39">
        <f>'[3]Non Pay for People Forecast'!G525*-1</f>
        <v>-680</v>
      </c>
      <c r="AG23" s="41"/>
      <c r="AH23" s="39">
        <f>SUM(AB23:AF23)*5.5%</f>
        <v>626.7355957499999</v>
      </c>
      <c r="AI23" s="40"/>
      <c r="AJ23" s="39">
        <f t="shared" si="5"/>
        <v>12021.928245749999</v>
      </c>
      <c r="AK23" s="40"/>
      <c r="AL23" s="39">
        <v>0</v>
      </c>
      <c r="AM23" s="41"/>
      <c r="AN23" s="39">
        <f>'[3]Non Pay for People Forecast'!W416*-1</f>
        <v>0</v>
      </c>
      <c r="AO23" s="41"/>
      <c r="AP23" s="39">
        <f>SUM(AJ23:AN23)*5.5%</f>
        <v>661.20605351624999</v>
      </c>
      <c r="AQ23" s="40"/>
      <c r="AR23" s="39">
        <f t="shared" si="6"/>
        <v>12683.13429926625</v>
      </c>
      <c r="AT23" s="39">
        <v>0</v>
      </c>
      <c r="AU23" s="41"/>
      <c r="AV23" s="39">
        <f>'[3]Non Pay for People Forecast'!AE416*-1</f>
        <v>0</v>
      </c>
      <c r="AW23" s="41"/>
      <c r="AX23" s="39">
        <f>SUM(AR23:AV23)*5.5%</f>
        <v>697.57238645964378</v>
      </c>
      <c r="AY23" s="40"/>
      <c r="AZ23" s="39">
        <f t="shared" si="7"/>
        <v>13380.706685725894</v>
      </c>
      <c r="BB23" s="39">
        <v>0</v>
      </c>
      <c r="BC23" s="41"/>
      <c r="BD23" s="39">
        <f>'[3]Non Pay for People Forecast'!AM416*-1</f>
        <v>0</v>
      </c>
      <c r="BE23" s="41"/>
      <c r="BF23" s="39">
        <f>SUM(AZ23:BD23)*5.5%</f>
        <v>735.93886771492419</v>
      </c>
      <c r="BG23" s="40"/>
      <c r="BH23" s="39">
        <f t="shared" si="8"/>
        <v>14116.645553440818</v>
      </c>
    </row>
    <row r="24" spans="1:60" x14ac:dyDescent="0.25">
      <c r="A24" s="15" t="s">
        <v>39</v>
      </c>
      <c r="B24" s="39">
        <f>'[3]SUMMARY BUDGET MOVES '!I23+'[3]SUMMARY BUDGET MOVES '!R23+'[3]SUMMARY BUDGET MOVES '!S23</f>
        <v>2373.8969999999999</v>
      </c>
      <c r="C24" s="40"/>
      <c r="D24" s="39">
        <f>SUM('[3]SUMMARY BUDGET MOVES '!J23)</f>
        <v>0</v>
      </c>
      <c r="E24" s="40"/>
      <c r="F24" s="39">
        <f t="shared" si="0"/>
        <v>2373.8969999999999</v>
      </c>
      <c r="G24" s="40"/>
      <c r="H24" s="39">
        <f>SUM('[3]SUMMARY BUDGET MOVES '!L23:N23)</f>
        <v>-30</v>
      </c>
      <c r="I24" s="40"/>
      <c r="J24" s="39">
        <f t="shared" si="1"/>
        <v>2343.8969999999999</v>
      </c>
      <c r="K24" s="40"/>
      <c r="L24" s="39">
        <f>SUM('[3]SUMMARY BUDGET MOVES '!P23)</f>
        <v>0</v>
      </c>
      <c r="M24" s="40"/>
      <c r="N24" s="39">
        <f t="shared" si="2"/>
        <v>2343.8969999999999</v>
      </c>
      <c r="O24" s="40"/>
      <c r="P24" s="39">
        <f>SUM('[3]SUMMARY BUDGET MOVES '!T23:Y23)</f>
        <v>0</v>
      </c>
      <c r="Q24" s="41"/>
      <c r="R24" s="39">
        <f>SUM('[3]SUMMARY BUDGET MOVES '!Z23:AB23)</f>
        <v>0</v>
      </c>
      <c r="S24" s="40"/>
      <c r="T24" s="39">
        <f t="shared" si="3"/>
        <v>2343.8969999999999</v>
      </c>
      <c r="U24" s="40"/>
      <c r="V24" s="39">
        <f>SUM('[3]SUMMARY BUDGET MOVES '!AD23:AF23)+SUM('[3]SUMMARY BUDGET MOVES '!AL23:AO23)+'[3]SUMMARY BUDGET MOVES '!AJ23</f>
        <v>263.33333333333337</v>
      </c>
      <c r="W24" s="41"/>
      <c r="X24" s="39">
        <f>SUM('[3]SUMMARY BUDGET MOVES '!AP23:AR23)+'[3]SUMMARY BUDGET MOVES '!AJ23+'[3]SUMMARY BUDGET MOVES '!AK23</f>
        <v>-79</v>
      </c>
      <c r="Y24" s="41"/>
      <c r="Z24" s="39">
        <f>'[3]SUMMARY BUDGET MOVES '!AT23+'[3]SUMMARY BUDGET MOVES '!AI23</f>
        <v>73.223939999999999</v>
      </c>
      <c r="AA24" s="40"/>
      <c r="AB24" s="39">
        <f t="shared" si="4"/>
        <v>2601.4542733333333</v>
      </c>
      <c r="AC24" s="40"/>
      <c r="AD24" s="39">
        <f>400/12*5</f>
        <v>166.66666666666669</v>
      </c>
      <c r="AE24" s="41"/>
      <c r="AF24" s="39">
        <v>-50</v>
      </c>
      <c r="AG24" s="41"/>
      <c r="AH24" s="39">
        <f>(AB24*2%/12*5)+(AB24*2%/12*5)*(2%/12*7)+(AB24+AD24)*2%/12*7</f>
        <v>54.226449076574077</v>
      </c>
      <c r="AI24" s="40"/>
      <c r="AJ24" s="39">
        <f t="shared" si="5"/>
        <v>2772.347389076574</v>
      </c>
      <c r="AK24" s="40"/>
      <c r="AL24" s="39">
        <v>0</v>
      </c>
      <c r="AM24" s="41"/>
      <c r="AN24" s="39">
        <v>0</v>
      </c>
      <c r="AO24" s="41"/>
      <c r="AP24" s="39">
        <f>(AJ24*2%/12*5)+(AJ24*2%/12*5)*(2%/12*7)+(AJ24+AL24)*2%/12*7</f>
        <v>55.716481555469485</v>
      </c>
      <c r="AQ24" s="40"/>
      <c r="AR24" s="39">
        <f t="shared" si="6"/>
        <v>2828.0638706320433</v>
      </c>
      <c r="AT24" s="39">
        <v>0</v>
      </c>
      <c r="AU24" s="41"/>
      <c r="AV24" s="39">
        <v>0</v>
      </c>
      <c r="AW24" s="41"/>
      <c r="AX24" s="39">
        <f>(AR24*2%/12*5)+(AR24*2%/12*5)*(2%/12*7)+(AR24+AT24)*2%/12*7</f>
        <v>56.836228066730101</v>
      </c>
      <c r="AY24" s="40"/>
      <c r="AZ24" s="39">
        <f t="shared" si="7"/>
        <v>2884.9000986987735</v>
      </c>
      <c r="BB24" s="39">
        <v>0</v>
      </c>
      <c r="BC24" s="41"/>
      <c r="BD24" s="39">
        <v>0</v>
      </c>
      <c r="BE24" s="41"/>
      <c r="BF24" s="39">
        <f>(AZ24*2%/12*5)+(AZ24*2%/12*5)*(2%/12*7)+(AZ24+BB24)*2%/12*7</f>
        <v>57.978478372460074</v>
      </c>
      <c r="BG24" s="40"/>
      <c r="BH24" s="39">
        <f t="shared" si="8"/>
        <v>2942.8785770712334</v>
      </c>
    </row>
    <row r="25" spans="1:60" x14ac:dyDescent="0.25">
      <c r="A25" s="15" t="s">
        <v>40</v>
      </c>
      <c r="B25" s="39">
        <f>'[3]SUMMARY BUDGET MOVES '!I24+'[3]SUMMARY BUDGET MOVES '!R24+'[3]SUMMARY BUDGET MOVES '!S24</f>
        <v>2427.5659999999998</v>
      </c>
      <c r="C25" s="40"/>
      <c r="D25" s="39">
        <f>SUM('[3]SUMMARY BUDGET MOVES '!J24)</f>
        <v>0</v>
      </c>
      <c r="E25" s="40"/>
      <c r="F25" s="39">
        <f t="shared" si="0"/>
        <v>2427.5659999999998</v>
      </c>
      <c r="G25" s="40"/>
      <c r="H25" s="39">
        <f>SUM('[3]SUMMARY BUDGET MOVES '!L24:N24)</f>
        <v>0</v>
      </c>
      <c r="I25" s="40"/>
      <c r="J25" s="39">
        <f t="shared" si="1"/>
        <v>2427.5659999999998</v>
      </c>
      <c r="K25" s="40"/>
      <c r="L25" s="39">
        <f>SUM('[3]SUMMARY BUDGET MOVES '!P24)</f>
        <v>-264</v>
      </c>
      <c r="M25" s="40"/>
      <c r="N25" s="39">
        <f t="shared" si="2"/>
        <v>2163.5659999999998</v>
      </c>
      <c r="O25" s="40"/>
      <c r="P25" s="39">
        <f>SUM('[3]SUMMARY BUDGET MOVES '!T24:Y24)</f>
        <v>0</v>
      </c>
      <c r="Q25" s="41"/>
      <c r="R25" s="39">
        <f>SUM('[3]SUMMARY BUDGET MOVES '!Z24:AB24)</f>
        <v>0</v>
      </c>
      <c r="S25" s="40"/>
      <c r="T25" s="39">
        <f t="shared" si="3"/>
        <v>2163.5659999999998</v>
      </c>
      <c r="U25" s="40"/>
      <c r="V25" s="39">
        <f>SUM('[3]SUMMARY BUDGET MOVES '!AD24:AF24)+SUM('[3]SUMMARY BUDGET MOVES '!AL24:AO24)+'[3]SUMMARY BUDGET MOVES '!AJ24</f>
        <v>0</v>
      </c>
      <c r="W25" s="41"/>
      <c r="X25" s="39">
        <f>SUM('[3]SUMMARY BUDGET MOVES '!AP24:AR24)+'[3]SUMMARY BUDGET MOVES '!AJ24+'[3]SUMMARY BUDGET MOVES '!AK24</f>
        <v>0</v>
      </c>
      <c r="Y25" s="41"/>
      <c r="Z25" s="39">
        <f>'[3]SUMMARY BUDGET MOVES '!AT24+'[3]SUMMARY BUDGET MOVES '!AI24</f>
        <v>43.271319999999996</v>
      </c>
      <c r="AA25" s="40"/>
      <c r="AB25" s="39">
        <f t="shared" si="4"/>
        <v>2206.8373199999996</v>
      </c>
      <c r="AC25" s="40"/>
      <c r="AD25" s="39">
        <v>0</v>
      </c>
      <c r="AE25" s="41"/>
      <c r="AF25" s="39">
        <v>0</v>
      </c>
      <c r="AG25" s="41"/>
      <c r="AH25" s="39">
        <f>(AB25*2%/12*5)+(AB25*2%/12*5)*(2%/12*7)+(AB25+AD25)*2%/12*7</f>
        <v>44.351300028333327</v>
      </c>
      <c r="AI25" s="40"/>
      <c r="AJ25" s="39">
        <f t="shared" si="5"/>
        <v>2251.1886200283329</v>
      </c>
      <c r="AK25" s="40"/>
      <c r="AL25" s="39">
        <v>0</v>
      </c>
      <c r="AM25" s="41"/>
      <c r="AN25" s="39">
        <v>0</v>
      </c>
      <c r="AO25" s="41"/>
      <c r="AP25" s="39">
        <f>(AJ25*2%/12*5)+(AJ25*2%/12*5)*(2%/12*7)+(AJ25+AL25)*2%/12*7</f>
        <v>45.24263796084719</v>
      </c>
      <c r="AQ25" s="40"/>
      <c r="AR25" s="39">
        <f t="shared" si="6"/>
        <v>2296.4312579891803</v>
      </c>
      <c r="AT25" s="39">
        <v>0</v>
      </c>
      <c r="AU25" s="41"/>
      <c r="AV25" s="39">
        <v>0</v>
      </c>
      <c r="AW25" s="41"/>
      <c r="AX25" s="39">
        <f>(AR25*2%/12*5)+(AR25*2%/12*5)*(2%/12*7)+(AR25+AT25)*2%/12*7</f>
        <v>46.151889309865894</v>
      </c>
      <c r="AY25" s="40"/>
      <c r="AZ25" s="39">
        <f t="shared" si="7"/>
        <v>2342.5831472990462</v>
      </c>
      <c r="BB25" s="39">
        <v>0</v>
      </c>
      <c r="BC25" s="41"/>
      <c r="BD25" s="39">
        <v>0</v>
      </c>
      <c r="BE25" s="41"/>
      <c r="BF25" s="39">
        <f>(AZ25*2%/12*5)+(AZ25*2%/12*5)*(2%/12*7)+(AZ25+BB25)*2%/12*7</f>
        <v>47.079414085301664</v>
      </c>
      <c r="BG25" s="40"/>
      <c r="BH25" s="39">
        <f t="shared" si="8"/>
        <v>2389.662561384348</v>
      </c>
    </row>
    <row r="26" spans="1:60" x14ac:dyDescent="0.25">
      <c r="A26" s="15" t="s">
        <v>41</v>
      </c>
      <c r="B26" s="39">
        <f>'[3]SUMMARY BUDGET MOVES '!I25+'[3]SUMMARY BUDGET MOVES '!R25+'[3]SUMMARY BUDGET MOVES '!S25</f>
        <v>21290.7</v>
      </c>
      <c r="C26" s="40"/>
      <c r="D26" s="39">
        <f>SUM('[3]SUMMARY BUDGET MOVES '!J25)</f>
        <v>0</v>
      </c>
      <c r="E26" s="40"/>
      <c r="F26" s="39">
        <f t="shared" si="0"/>
        <v>21290.7</v>
      </c>
      <c r="G26" s="40"/>
      <c r="H26" s="39">
        <f>SUM('[3]SUMMARY BUDGET MOVES '!L25:N25)</f>
        <v>-209</v>
      </c>
      <c r="I26" s="40"/>
      <c r="J26" s="39">
        <f t="shared" si="1"/>
        <v>21081.7</v>
      </c>
      <c r="K26" s="40"/>
      <c r="L26" s="39">
        <f>SUM('[3]SUMMARY BUDGET MOVES '!P25)</f>
        <v>-185</v>
      </c>
      <c r="M26" s="40"/>
      <c r="N26" s="39">
        <f t="shared" si="2"/>
        <v>20896.7</v>
      </c>
      <c r="O26" s="40"/>
      <c r="P26" s="39">
        <f>SUM('[3]SUMMARY BUDGET MOVES '!T25:Y25)</f>
        <v>0</v>
      </c>
      <c r="Q26" s="41"/>
      <c r="R26" s="39">
        <f>SUM('[3]SUMMARY BUDGET MOVES '!Z25:AB25)</f>
        <v>0</v>
      </c>
      <c r="S26" s="40"/>
      <c r="T26" s="39">
        <f t="shared" si="3"/>
        <v>20896.7</v>
      </c>
      <c r="U26" s="40"/>
      <c r="V26" s="39">
        <f>SUM('[3]SUMMARY BUDGET MOVES '!AD25:AF25)+SUM('[3]SUMMARY BUDGET MOVES '!AL25:AO25)+'[3]SUMMARY BUDGET MOVES '!AJ25</f>
        <v>130</v>
      </c>
      <c r="W26" s="41"/>
      <c r="X26" s="39">
        <f>SUM('[3]SUMMARY BUDGET MOVES '!AP25:AR25)+'[3]SUMMARY BUDGET MOVES '!AJ25+'[3]SUMMARY BUDGET MOVES '!AK25</f>
        <v>-505</v>
      </c>
      <c r="Y26" s="41"/>
      <c r="Z26" s="39">
        <f>'[3]SUMMARY BUDGET MOVES '!AT25+'[3]SUMMARY BUDGET MOVES '!AI25</f>
        <v>813.25450000000012</v>
      </c>
      <c r="AA26" s="40"/>
      <c r="AB26" s="39">
        <f t="shared" si="4"/>
        <v>21334.9545</v>
      </c>
      <c r="AC26" s="40"/>
      <c r="AD26" s="39">
        <v>0</v>
      </c>
      <c r="AE26" s="41"/>
      <c r="AF26" s="39">
        <f>'[3]Non Pay for People Forecast'!G515*-1+-90</f>
        <v>-470</v>
      </c>
      <c r="AG26" s="41"/>
      <c r="AH26" s="39">
        <f>SUM(AB26:AF26)*5%</f>
        <v>1043.2477249999999</v>
      </c>
      <c r="AI26" s="40"/>
      <c r="AJ26" s="39">
        <f t="shared" si="5"/>
        <v>21908.202225000001</v>
      </c>
      <c r="AK26" s="40"/>
      <c r="AL26" s="39">
        <v>0</v>
      </c>
      <c r="AM26" s="41"/>
      <c r="AN26" s="39">
        <f>-1000</f>
        <v>-1000</v>
      </c>
      <c r="AO26" s="41"/>
      <c r="AP26" s="39">
        <f>SUM(AJ26:AN26)*5%</f>
        <v>1045.41011125</v>
      </c>
      <c r="AQ26" s="40"/>
      <c r="AR26" s="39">
        <f t="shared" si="6"/>
        <v>21953.61233625</v>
      </c>
      <c r="AT26" s="39">
        <v>800</v>
      </c>
      <c r="AU26" s="41"/>
      <c r="AV26" s="39">
        <f>-1220</f>
        <v>-1220</v>
      </c>
      <c r="AW26" s="41"/>
      <c r="AX26" s="39">
        <f>SUM(AR26:AV26)*5%</f>
        <v>1076.6806168125001</v>
      </c>
      <c r="AY26" s="40"/>
      <c r="AZ26" s="39">
        <f t="shared" si="7"/>
        <v>22610.292953062501</v>
      </c>
      <c r="BB26" s="39">
        <v>800</v>
      </c>
      <c r="BC26" s="41"/>
      <c r="BD26" s="39">
        <v>0</v>
      </c>
      <c r="BE26" s="41"/>
      <c r="BF26" s="39">
        <f>SUM(AZ26:BD26)*5%</f>
        <v>1170.5146476531252</v>
      </c>
      <c r="BG26" s="40"/>
      <c r="BH26" s="39">
        <f t="shared" si="8"/>
        <v>24580.807600715627</v>
      </c>
    </row>
    <row r="27" spans="1:60" x14ac:dyDescent="0.25">
      <c r="A27" s="15" t="s">
        <v>42</v>
      </c>
      <c r="B27" s="39">
        <f>'[3]SUMMARY BUDGET MOVES '!I26+'[3]SUMMARY BUDGET MOVES '!R26+'[3]SUMMARY BUDGET MOVES '!S26</f>
        <v>5763.5</v>
      </c>
      <c r="C27" s="40"/>
      <c r="D27" s="39">
        <f>SUM('[3]SUMMARY BUDGET MOVES '!J26)</f>
        <v>0</v>
      </c>
      <c r="E27" s="40"/>
      <c r="F27" s="39">
        <f t="shared" si="0"/>
        <v>5763.5</v>
      </c>
      <c r="G27" s="40"/>
      <c r="H27" s="39">
        <f>SUM('[3]SUMMARY BUDGET MOVES '!L26:N26)</f>
        <v>-3</v>
      </c>
      <c r="I27" s="40"/>
      <c r="J27" s="39">
        <f t="shared" si="1"/>
        <v>5760.5</v>
      </c>
      <c r="K27" s="40"/>
      <c r="L27" s="39">
        <f>SUM('[3]SUMMARY BUDGET MOVES '!P26)</f>
        <v>0</v>
      </c>
      <c r="M27" s="40"/>
      <c r="N27" s="39">
        <f t="shared" si="2"/>
        <v>5760.5</v>
      </c>
      <c r="O27" s="40"/>
      <c r="P27" s="39">
        <f>SUM('[3]SUMMARY BUDGET MOVES '!T26:Y26)</f>
        <v>0</v>
      </c>
      <c r="Q27" s="41"/>
      <c r="R27" s="39">
        <f>SUM('[3]SUMMARY BUDGET MOVES '!Z26:AB26)</f>
        <v>0</v>
      </c>
      <c r="S27" s="40"/>
      <c r="T27" s="39">
        <f t="shared" si="3"/>
        <v>5760.5</v>
      </c>
      <c r="U27" s="40"/>
      <c r="V27" s="39">
        <f>SUM('[3]SUMMARY BUDGET MOVES '!AD26:AF26)+SUM('[3]SUMMARY BUDGET MOVES '!AL26:AO26)+'[3]SUMMARY BUDGET MOVES '!AJ26</f>
        <v>0</v>
      </c>
      <c r="W27" s="41"/>
      <c r="X27" s="39">
        <f>SUM('[3]SUMMARY BUDGET MOVES '!AP26:AR26)+'[3]SUMMARY BUDGET MOVES '!AJ26+'[3]SUMMARY BUDGET MOVES '!AK26</f>
        <v>-260</v>
      </c>
      <c r="Y27" s="41"/>
      <c r="Z27" s="39">
        <f>'[3]SUMMARY BUDGET MOVES '!AT26+'[3]SUMMARY BUDGET MOVES '!AI26</f>
        <v>586.221</v>
      </c>
      <c r="AA27" s="40"/>
      <c r="AB27" s="39">
        <f t="shared" si="4"/>
        <v>6086.7209999999995</v>
      </c>
      <c r="AC27" s="40"/>
      <c r="AD27" s="39">
        <v>0</v>
      </c>
      <c r="AE27" s="41"/>
      <c r="AF27" s="39">
        <v>0</v>
      </c>
      <c r="AG27" s="41"/>
      <c r="AH27" s="39">
        <f>SUM(AB27:AF27)*8.75%</f>
        <v>532.58808749999992</v>
      </c>
      <c r="AI27" s="40"/>
      <c r="AJ27" s="39">
        <f t="shared" si="5"/>
        <v>6619.3090874999998</v>
      </c>
      <c r="AK27" s="40"/>
      <c r="AL27" s="39">
        <v>0</v>
      </c>
      <c r="AM27" s="41"/>
      <c r="AN27" s="39">
        <v>0</v>
      </c>
      <c r="AO27" s="41"/>
      <c r="AP27" s="39">
        <f>SUM(AJ27:AN27)*8.75%</f>
        <v>579.18954515624989</v>
      </c>
      <c r="AQ27" s="40"/>
      <c r="AR27" s="39">
        <f t="shared" si="6"/>
        <v>7198.4986326562494</v>
      </c>
      <c r="AT27" s="39">
        <v>0</v>
      </c>
      <c r="AU27" s="41"/>
      <c r="AV27" s="39">
        <v>0</v>
      </c>
      <c r="AW27" s="41"/>
      <c r="AX27" s="39">
        <f>SUM(AR27:AV27)*8.75%</f>
        <v>629.86863035742181</v>
      </c>
      <c r="AY27" s="40"/>
      <c r="AZ27" s="39">
        <f t="shared" si="7"/>
        <v>7828.3672630136716</v>
      </c>
      <c r="BB27" s="39">
        <v>0</v>
      </c>
      <c r="BC27" s="41"/>
      <c r="BD27" s="39">
        <v>0</v>
      </c>
      <c r="BE27" s="41"/>
      <c r="BF27" s="39">
        <f>SUM(AZ27:BD27)*8.75%</f>
        <v>684.98213551369622</v>
      </c>
      <c r="BG27" s="40"/>
      <c r="BH27" s="39">
        <f t="shared" si="8"/>
        <v>8513.3493985273672</v>
      </c>
    </row>
    <row r="28" spans="1:60" x14ac:dyDescent="0.25">
      <c r="A28" s="15" t="s">
        <v>43</v>
      </c>
      <c r="B28" s="39">
        <f>'[3]SUMMARY BUDGET MOVES '!I27+'[3]SUMMARY BUDGET MOVES '!R27+'[3]SUMMARY BUDGET MOVES '!S27</f>
        <v>280.60000000000002</v>
      </c>
      <c r="C28" s="40"/>
      <c r="D28" s="39">
        <f>SUM('[3]SUMMARY BUDGET MOVES '!J27)</f>
        <v>0</v>
      </c>
      <c r="E28" s="40"/>
      <c r="F28" s="39">
        <f t="shared" si="0"/>
        <v>280.60000000000002</v>
      </c>
      <c r="G28" s="40"/>
      <c r="H28" s="39">
        <f>SUM('[3]SUMMARY BUDGET MOVES '!L27:N27)</f>
        <v>0</v>
      </c>
      <c r="I28" s="40"/>
      <c r="J28" s="39">
        <f t="shared" si="1"/>
        <v>280.60000000000002</v>
      </c>
      <c r="K28" s="40"/>
      <c r="L28" s="39">
        <f>SUM('[3]SUMMARY BUDGET MOVES '!P27)</f>
        <v>0</v>
      </c>
      <c r="M28" s="40"/>
      <c r="N28" s="39">
        <f t="shared" si="2"/>
        <v>280.60000000000002</v>
      </c>
      <c r="O28" s="40"/>
      <c r="P28" s="39">
        <f>SUM('[3]SUMMARY BUDGET MOVES '!T27:Y27)</f>
        <v>0</v>
      </c>
      <c r="Q28" s="41"/>
      <c r="R28" s="39">
        <f>SUM('[3]SUMMARY BUDGET MOVES '!Z27:AB27)</f>
        <v>0</v>
      </c>
      <c r="S28" s="40"/>
      <c r="T28" s="39">
        <f t="shared" si="3"/>
        <v>280.60000000000002</v>
      </c>
      <c r="U28" s="40"/>
      <c r="V28" s="39">
        <f>SUM('[3]SUMMARY BUDGET MOVES '!AD27:AF27)+SUM('[3]SUMMARY BUDGET MOVES '!AL27:AO27)+'[3]SUMMARY BUDGET MOVES '!AJ27</f>
        <v>0</v>
      </c>
      <c r="W28" s="41"/>
      <c r="X28" s="39">
        <f>SUM('[3]SUMMARY BUDGET MOVES '!AP27:AR27)+'[3]SUMMARY BUDGET MOVES '!AJ27+'[3]SUMMARY BUDGET MOVES '!AK27</f>
        <v>0</v>
      </c>
      <c r="Y28" s="41"/>
      <c r="Z28" s="39">
        <f>'[3]SUMMARY BUDGET MOVES '!AT27+'[3]SUMMARY BUDGET MOVES '!AI27</f>
        <v>5.6120000000000001</v>
      </c>
      <c r="AA28" s="40"/>
      <c r="AB28" s="39">
        <f t="shared" si="4"/>
        <v>286.21200000000005</v>
      </c>
      <c r="AC28" s="40"/>
      <c r="AD28" s="39">
        <v>0</v>
      </c>
      <c r="AE28" s="41"/>
      <c r="AF28" s="39">
        <v>0</v>
      </c>
      <c r="AG28" s="41"/>
      <c r="AH28" s="39">
        <f>(AB28*2%/12*5)+(AB28*2%/12*5)*(2%/12*7)+(AB28+AD28)*2%/12*7</f>
        <v>5.7520661666666673</v>
      </c>
      <c r="AI28" s="40"/>
      <c r="AJ28" s="39">
        <f t="shared" si="5"/>
        <v>291.96406616666673</v>
      </c>
      <c r="AK28" s="40"/>
      <c r="AL28" s="39">
        <v>0</v>
      </c>
      <c r="AM28" s="41"/>
      <c r="AN28" s="39">
        <v>0</v>
      </c>
      <c r="AO28" s="41"/>
      <c r="AP28" s="39">
        <f>(AJ28*2%/12*5)+(AJ28*2%/12*5)*(2%/12*7)+(AJ28+AL28)*2%/12*7</f>
        <v>5.8676667186550944</v>
      </c>
      <c r="AQ28" s="40"/>
      <c r="AR28" s="39">
        <f t="shared" si="6"/>
        <v>297.8317328853218</v>
      </c>
      <c r="AT28" s="39">
        <v>0</v>
      </c>
      <c r="AU28" s="41"/>
      <c r="AV28" s="39">
        <v>0</v>
      </c>
      <c r="AW28" s="41"/>
      <c r="AX28" s="39">
        <f>(AR28*2%/12*5)+(AR28*2%/12*5)*(2%/12*7)+(AR28+AT28)*2%/12*7</f>
        <v>5.9855905206258431</v>
      </c>
      <c r="AY28" s="40"/>
      <c r="AZ28" s="39">
        <f t="shared" si="7"/>
        <v>303.81732340594766</v>
      </c>
      <c r="BB28" s="39">
        <v>0</v>
      </c>
      <c r="BC28" s="41"/>
      <c r="BD28" s="39">
        <v>0</v>
      </c>
      <c r="BE28" s="41"/>
      <c r="BF28" s="39">
        <f>(AZ28*2%/12*5)+(AZ28*2%/12*5)*(2%/12*7)+(AZ28+BB28)*2%/12*7</f>
        <v>6.1058842634500863</v>
      </c>
      <c r="BG28" s="40"/>
      <c r="BH28" s="39">
        <f t="shared" si="8"/>
        <v>309.92320766939775</v>
      </c>
    </row>
    <row r="29" spans="1:60" x14ac:dyDescent="0.25">
      <c r="A29" s="15" t="s">
        <v>44</v>
      </c>
      <c r="B29" s="39">
        <f>'[3]SUMMARY BUDGET MOVES '!I28+'[3]SUMMARY BUDGET MOVES '!R28+'[3]SUMMARY BUDGET MOVES '!S28</f>
        <v>1351.1129999999998</v>
      </c>
      <c r="C29" s="40"/>
      <c r="D29" s="39">
        <f>SUM('[3]SUMMARY BUDGET MOVES '!J28)</f>
        <v>0</v>
      </c>
      <c r="E29" s="40"/>
      <c r="F29" s="39">
        <f t="shared" si="0"/>
        <v>1351.1129999999998</v>
      </c>
      <c r="G29" s="40"/>
      <c r="H29" s="39">
        <f>SUM('[3]SUMMARY BUDGET MOVES '!L28:N28)</f>
        <v>-111</v>
      </c>
      <c r="I29" s="40"/>
      <c r="J29" s="39">
        <f t="shared" si="1"/>
        <v>1240.1129999999998</v>
      </c>
      <c r="K29" s="40"/>
      <c r="L29" s="39">
        <f>SUM('[3]SUMMARY BUDGET MOVES '!P28)</f>
        <v>-17</v>
      </c>
      <c r="M29" s="40"/>
      <c r="N29" s="39">
        <f t="shared" si="2"/>
        <v>1223.1129999999998</v>
      </c>
      <c r="O29" s="40"/>
      <c r="P29" s="39">
        <f>SUM('[3]SUMMARY BUDGET MOVES '!T28:Y28)</f>
        <v>0</v>
      </c>
      <c r="Q29" s="41"/>
      <c r="R29" s="39">
        <f>SUM('[3]SUMMARY BUDGET MOVES '!Z28:AB28)</f>
        <v>0</v>
      </c>
      <c r="S29" s="40"/>
      <c r="T29" s="39">
        <f t="shared" si="3"/>
        <v>1223.1129999999998</v>
      </c>
      <c r="U29" s="40"/>
      <c r="V29" s="39">
        <f>SUM('[3]SUMMARY BUDGET MOVES '!AD28:AF28)+SUM('[3]SUMMARY BUDGET MOVES '!AL28:AO28)+'[3]SUMMARY BUDGET MOVES '!AJ28</f>
        <v>0</v>
      </c>
      <c r="W29" s="41"/>
      <c r="X29" s="39">
        <f>SUM('[3]SUMMARY BUDGET MOVES '!AP28:AR28)+'[3]SUMMARY BUDGET MOVES '!AJ28+'[3]SUMMARY BUDGET MOVES '!AK28</f>
        <v>0</v>
      </c>
      <c r="Y29" s="41"/>
      <c r="Z29" s="39">
        <f>'[3]SUMMARY BUDGET MOVES '!AT28+'[3]SUMMARY BUDGET MOVES '!AI28</f>
        <v>24.462260000000001</v>
      </c>
      <c r="AA29" s="40"/>
      <c r="AB29" s="39">
        <f t="shared" si="4"/>
        <v>1247.5752599999998</v>
      </c>
      <c r="AC29" s="40"/>
      <c r="AD29" s="39">
        <v>0</v>
      </c>
      <c r="AE29" s="41"/>
      <c r="AF29" s="39">
        <v>-50</v>
      </c>
      <c r="AG29" s="41"/>
      <c r="AH29" s="39">
        <f>(AB29*2%/12*5)+(AB29*2%/12*5)*(2%/12*7)+(AB29+AD29)*2%/12*7</f>
        <v>25.072797239166661</v>
      </c>
      <c r="AI29" s="40"/>
      <c r="AJ29" s="39">
        <f t="shared" si="5"/>
        <v>1222.6480572391665</v>
      </c>
      <c r="AK29" s="40"/>
      <c r="AL29" s="39">
        <v>0</v>
      </c>
      <c r="AM29" s="41"/>
      <c r="AN29" s="39">
        <v>0</v>
      </c>
      <c r="AO29" s="41"/>
      <c r="AP29" s="39">
        <f>(AJ29*2%/12*5)+(AJ29*2%/12*5)*(2%/12*7)+(AJ29+AL29)*2%/12*7</f>
        <v>24.571829705903802</v>
      </c>
      <c r="AQ29" s="40"/>
      <c r="AR29" s="39">
        <f t="shared" si="6"/>
        <v>1247.2198869450704</v>
      </c>
      <c r="AT29" s="39">
        <v>0</v>
      </c>
      <c r="AU29" s="41"/>
      <c r="AV29" s="39">
        <v>0</v>
      </c>
      <c r="AW29" s="41"/>
      <c r="AX29" s="39">
        <f>(AR29*2%/12*5)+(AR29*2%/12*5)*(2%/12*7)+(AR29+AT29)*2%/12*7</f>
        <v>25.065655227909957</v>
      </c>
      <c r="AY29" s="40"/>
      <c r="AZ29" s="39">
        <f t="shared" si="7"/>
        <v>1272.2855421729803</v>
      </c>
      <c r="BB29" s="39">
        <v>0</v>
      </c>
      <c r="BC29" s="41"/>
      <c r="BD29" s="39">
        <v>0</v>
      </c>
      <c r="BE29" s="41"/>
      <c r="BF29" s="39">
        <f>(AZ29*2%/12*5)+(AZ29*2%/12*5)*(2%/12*7)+(AZ29+BB29)*2%/12*7</f>
        <v>25.569405271170869</v>
      </c>
      <c r="BG29" s="40"/>
      <c r="BH29" s="39">
        <f t="shared" si="8"/>
        <v>1297.8549474441511</v>
      </c>
    </row>
    <row r="30" spans="1:60" x14ac:dyDescent="0.25">
      <c r="A30" s="15" t="s">
        <v>45</v>
      </c>
      <c r="B30" s="39">
        <f>'[3]SUMMARY BUDGET MOVES '!I29+'[3]SUMMARY BUDGET MOVES '!R29+'[3]SUMMARY BUDGET MOVES '!S29</f>
        <v>11003.861000000001</v>
      </c>
      <c r="C30" s="40"/>
      <c r="D30" s="39">
        <f>SUM('[3]SUMMARY BUDGET MOVES '!J29)</f>
        <v>0</v>
      </c>
      <c r="E30" s="40"/>
      <c r="F30" s="39">
        <f t="shared" si="0"/>
        <v>11003.861000000001</v>
      </c>
      <c r="G30" s="40"/>
      <c r="H30" s="39">
        <f>SUM('[3]SUMMARY BUDGET MOVES '!L29:N29)</f>
        <v>-593</v>
      </c>
      <c r="I30" s="40"/>
      <c r="J30" s="39">
        <f t="shared" si="1"/>
        <v>10410.861000000001</v>
      </c>
      <c r="K30" s="40"/>
      <c r="L30" s="39">
        <f>SUM('[3]SUMMARY BUDGET MOVES '!P29)</f>
        <v>280</v>
      </c>
      <c r="M30" s="40"/>
      <c r="N30" s="39">
        <f t="shared" si="2"/>
        <v>10690.861000000001</v>
      </c>
      <c r="O30" s="40"/>
      <c r="P30" s="39">
        <f>SUM('[3]SUMMARY BUDGET MOVES '!T29:Y29)</f>
        <v>0</v>
      </c>
      <c r="Q30" s="41"/>
      <c r="R30" s="39">
        <f>SUM('[3]SUMMARY BUDGET MOVES '!Z29:AB29)</f>
        <v>0</v>
      </c>
      <c r="S30" s="40"/>
      <c r="T30" s="39">
        <f t="shared" si="3"/>
        <v>10690.861000000001</v>
      </c>
      <c r="U30" s="40"/>
      <c r="V30" s="39">
        <f>SUM('[3]SUMMARY BUDGET MOVES '!AD29:AF29)+SUM('[3]SUMMARY BUDGET MOVES '!AL29:AO29)+'[3]SUMMARY BUDGET MOVES '!AJ29</f>
        <v>0</v>
      </c>
      <c r="W30" s="41"/>
      <c r="X30" s="39">
        <f>SUM('[3]SUMMARY BUDGET MOVES '!AP29:AR29)+'[3]SUMMARY BUDGET MOVES '!AJ29+'[3]SUMMARY BUDGET MOVES '!AK29</f>
        <v>-225</v>
      </c>
      <c r="Y30" s="41"/>
      <c r="Z30" s="39">
        <f>'[3]SUMMARY BUDGET MOVES '!AT29+'[3]SUMMARY BUDGET MOVES '!AI29</f>
        <v>447.94385000000005</v>
      </c>
      <c r="AA30" s="40"/>
      <c r="AB30" s="39">
        <f t="shared" si="4"/>
        <v>10913.80485</v>
      </c>
      <c r="AC30" s="40"/>
      <c r="AD30" s="39">
        <v>0</v>
      </c>
      <c r="AE30" s="41"/>
      <c r="AF30" s="39">
        <v>0</v>
      </c>
      <c r="AG30" s="41"/>
      <c r="AH30" s="39">
        <f>4800*10%+5000*2.5%</f>
        <v>605</v>
      </c>
      <c r="AI30" s="40"/>
      <c r="AJ30" s="39">
        <f t="shared" si="5"/>
        <v>11518.80485</v>
      </c>
      <c r="AK30" s="40"/>
      <c r="AL30" s="39">
        <v>0</v>
      </c>
      <c r="AM30" s="41"/>
      <c r="AN30" s="39">
        <v>0</v>
      </c>
      <c r="AO30" s="41"/>
      <c r="AP30" s="39">
        <f>4800*10%+5000*2.5%</f>
        <v>605</v>
      </c>
      <c r="AQ30" s="40"/>
      <c r="AR30" s="39">
        <f t="shared" si="6"/>
        <v>12123.80485</v>
      </c>
      <c r="AT30" s="39">
        <v>0</v>
      </c>
      <c r="AU30" s="41"/>
      <c r="AV30" s="39">
        <v>0</v>
      </c>
      <c r="AW30" s="41"/>
      <c r="AX30" s="39">
        <f>4800*10%+5000*2.5%</f>
        <v>605</v>
      </c>
      <c r="AY30" s="40"/>
      <c r="AZ30" s="39">
        <f t="shared" si="7"/>
        <v>12728.80485</v>
      </c>
      <c r="BB30" s="39">
        <v>0</v>
      </c>
      <c r="BC30" s="41"/>
      <c r="BD30" s="39">
        <v>0</v>
      </c>
      <c r="BE30" s="41"/>
      <c r="BF30" s="39">
        <f>4800*10%+5000*2.5%</f>
        <v>605</v>
      </c>
      <c r="BG30" s="40"/>
      <c r="BH30" s="39">
        <f t="shared" si="8"/>
        <v>13333.80485</v>
      </c>
    </row>
    <row r="31" spans="1:60" x14ac:dyDescent="0.25">
      <c r="A31" s="15" t="s">
        <v>46</v>
      </c>
      <c r="B31" s="39">
        <f>'[3]SUMMARY BUDGET MOVES '!I30+'[3]SUMMARY BUDGET MOVES '!R30+'[3]SUMMARY BUDGET MOVES '!S30</f>
        <v>13921</v>
      </c>
      <c r="C31" s="40"/>
      <c r="D31" s="39">
        <f>SUM('[3]SUMMARY BUDGET MOVES '!J30)</f>
        <v>0</v>
      </c>
      <c r="E31" s="40"/>
      <c r="F31" s="39">
        <f t="shared" si="0"/>
        <v>13921</v>
      </c>
      <c r="G31" s="40"/>
      <c r="H31" s="39">
        <f>SUM('[3]SUMMARY BUDGET MOVES '!L30:N30)</f>
        <v>0</v>
      </c>
      <c r="I31" s="40"/>
      <c r="J31" s="39">
        <f t="shared" si="1"/>
        <v>13921</v>
      </c>
      <c r="K31" s="40"/>
      <c r="L31" s="39">
        <f>SUM('[3]SUMMARY BUDGET MOVES '!P30)</f>
        <v>320</v>
      </c>
      <c r="M31" s="40"/>
      <c r="N31" s="39">
        <f t="shared" si="2"/>
        <v>14241</v>
      </c>
      <c r="O31" s="40"/>
      <c r="P31" s="39">
        <f>SUM('[3]SUMMARY BUDGET MOVES '!T30:Y30)</f>
        <v>0</v>
      </c>
      <c r="Q31" s="41"/>
      <c r="R31" s="39">
        <f>SUM('[3]SUMMARY BUDGET MOVES '!Z30:AB30)</f>
        <v>0</v>
      </c>
      <c r="S31" s="40"/>
      <c r="T31" s="39">
        <f t="shared" si="3"/>
        <v>14241</v>
      </c>
      <c r="U31" s="40"/>
      <c r="V31" s="39">
        <f>SUM('[3]SUMMARY BUDGET MOVES '!AD30:AF30)+SUM('[3]SUMMARY BUDGET MOVES '!AL30:AO30)+'[3]SUMMARY BUDGET MOVES '!AJ30</f>
        <v>50</v>
      </c>
      <c r="W31" s="41"/>
      <c r="X31" s="39">
        <f>SUM('[3]SUMMARY BUDGET MOVES '!AP30:AR30)+'[3]SUMMARY BUDGET MOVES '!AJ30+'[3]SUMMARY BUDGET MOVES '!AK30</f>
        <v>-700</v>
      </c>
      <c r="Y31" s="41"/>
      <c r="Z31" s="39">
        <f>'[3]SUMMARY BUDGET MOVES '!AT30+'[3]SUMMARY BUDGET MOVES '!AI30</f>
        <v>176.68300000000002</v>
      </c>
      <c r="AA31" s="40"/>
      <c r="AB31" s="39">
        <f t="shared" si="4"/>
        <v>13767.683000000001</v>
      </c>
      <c r="AC31" s="40"/>
      <c r="AD31" s="39">
        <v>0</v>
      </c>
      <c r="AE31" s="41"/>
      <c r="AF31" s="39">
        <v>-700</v>
      </c>
      <c r="AG31" s="41"/>
      <c r="AH31" s="39">
        <f t="shared" ref="AH31:AH37" si="9">(AB31*2%/12*5)+(AB31*2%/12*5)*(2%/12*7)+(AB31+AD31)*2%/12*7</f>
        <v>276.69218473611113</v>
      </c>
      <c r="AI31" s="40"/>
      <c r="AJ31" s="39">
        <f t="shared" si="5"/>
        <v>13344.375184736113</v>
      </c>
      <c r="AK31" s="40"/>
      <c r="AL31" s="39">
        <v>0</v>
      </c>
      <c r="AM31" s="41"/>
      <c r="AN31" s="39">
        <v>0</v>
      </c>
      <c r="AO31" s="41"/>
      <c r="AP31" s="39">
        <f t="shared" ref="AP31:AP37" si="10">(AJ31*2%/12*5)+(AJ31*2%/12*5)*(2%/12*7)+(AJ31+AL31)*2%/12*7</f>
        <v>268.18487350434941</v>
      </c>
      <c r="AQ31" s="40"/>
      <c r="AR31" s="39">
        <f t="shared" si="6"/>
        <v>13612.560058240462</v>
      </c>
      <c r="AT31" s="39">
        <v>0</v>
      </c>
      <c r="AU31" s="41"/>
      <c r="AV31" s="39">
        <v>0</v>
      </c>
      <c r="AW31" s="41"/>
      <c r="AX31" s="39">
        <f t="shared" ref="AX31:AX37" si="11">(AR31*2%/12*5)+(AR31*2%/12*5)*(2%/12*7)+(AR31+AT31)*2%/12*7</f>
        <v>273.57464450380479</v>
      </c>
      <c r="AY31" s="40"/>
      <c r="AZ31" s="39">
        <f t="shared" si="7"/>
        <v>13886.134702744266</v>
      </c>
      <c r="BB31" s="39">
        <v>0</v>
      </c>
      <c r="BC31" s="41"/>
      <c r="BD31" s="39">
        <v>0</v>
      </c>
      <c r="BE31" s="41"/>
      <c r="BF31" s="39">
        <f t="shared" ref="BF31:BF37" si="12">(AZ31*2%/12*5)+(AZ31*2%/12*5)*(2%/12*7)+(AZ31+BB31)*2%/12*7</f>
        <v>279.07273492876323</v>
      </c>
      <c r="BG31" s="40"/>
      <c r="BH31" s="39">
        <f t="shared" si="8"/>
        <v>14165.207437673029</v>
      </c>
    </row>
    <row r="32" spans="1:60" x14ac:dyDescent="0.25">
      <c r="A32" s="15" t="s">
        <v>47</v>
      </c>
      <c r="B32" s="39">
        <f>'[3]SUMMARY BUDGET MOVES '!I31+'[3]SUMMARY BUDGET MOVES '!R31+'[3]SUMMARY BUDGET MOVES '!S31</f>
        <v>2759.252</v>
      </c>
      <c r="C32" s="40"/>
      <c r="D32" s="39">
        <f>SUM('[3]SUMMARY BUDGET MOVES '!J31)</f>
        <v>0</v>
      </c>
      <c r="E32" s="40"/>
      <c r="F32" s="39">
        <f t="shared" si="0"/>
        <v>2759.252</v>
      </c>
      <c r="G32" s="40"/>
      <c r="H32" s="39">
        <f>SUM('[3]SUMMARY BUDGET MOVES '!L31:N31)</f>
        <v>-775</v>
      </c>
      <c r="I32" s="40"/>
      <c r="J32" s="39">
        <f t="shared" si="1"/>
        <v>1984.252</v>
      </c>
      <c r="K32" s="40"/>
      <c r="L32" s="39">
        <f>SUM('[3]SUMMARY BUDGET MOVES '!P31)</f>
        <v>0</v>
      </c>
      <c r="M32" s="40"/>
      <c r="N32" s="39">
        <f t="shared" si="2"/>
        <v>1984.252</v>
      </c>
      <c r="O32" s="40"/>
      <c r="P32" s="39">
        <f>SUM('[3]SUMMARY BUDGET MOVES '!T31:Y31)</f>
        <v>0</v>
      </c>
      <c r="Q32" s="41"/>
      <c r="R32" s="39">
        <f>SUM('[3]SUMMARY BUDGET MOVES '!Z31:AB31)</f>
        <v>0</v>
      </c>
      <c r="S32" s="40"/>
      <c r="T32" s="39">
        <f t="shared" si="3"/>
        <v>1984.252</v>
      </c>
      <c r="U32" s="40"/>
      <c r="V32" s="39">
        <f>SUM('[3]SUMMARY BUDGET MOVES '!AD31:AF31)+SUM('[3]SUMMARY BUDGET MOVES '!AL31:AO31)+'[3]SUMMARY BUDGET MOVES '!AJ31</f>
        <v>50</v>
      </c>
      <c r="W32" s="41"/>
      <c r="X32" s="39">
        <f>SUM('[3]SUMMARY BUDGET MOVES '!AP31:AR31)+'[3]SUMMARY BUDGET MOVES '!AJ31+'[3]SUMMARY BUDGET MOVES '!AK31</f>
        <v>0</v>
      </c>
      <c r="Y32" s="41"/>
      <c r="Z32" s="39">
        <f>'[3]SUMMARY BUDGET MOVES '!AT31+'[3]SUMMARY BUDGET MOVES '!AI31</f>
        <v>26.357039999999998</v>
      </c>
      <c r="AA32" s="40"/>
      <c r="AB32" s="39">
        <f t="shared" si="4"/>
        <v>2060.6090399999998</v>
      </c>
      <c r="AC32" s="40"/>
      <c r="AD32" s="39">
        <v>0</v>
      </c>
      <c r="AE32" s="41"/>
      <c r="AF32" s="39">
        <v>-50</v>
      </c>
      <c r="AG32" s="41"/>
      <c r="AH32" s="39">
        <f t="shared" si="9"/>
        <v>41.412517789999995</v>
      </c>
      <c r="AI32" s="40"/>
      <c r="AJ32" s="39">
        <f t="shared" si="5"/>
        <v>2052.0215577899999</v>
      </c>
      <c r="AK32" s="40"/>
      <c r="AL32" s="39">
        <v>0</v>
      </c>
      <c r="AM32" s="41"/>
      <c r="AN32" s="39">
        <v>0</v>
      </c>
      <c r="AO32" s="41"/>
      <c r="AP32" s="39">
        <f t="shared" si="10"/>
        <v>41.23993325169625</v>
      </c>
      <c r="AQ32" s="40"/>
      <c r="AR32" s="39">
        <f t="shared" si="6"/>
        <v>2093.261491041696</v>
      </c>
      <c r="AT32" s="39">
        <v>0</v>
      </c>
      <c r="AU32" s="41"/>
      <c r="AV32" s="39">
        <v>0</v>
      </c>
      <c r="AW32" s="41"/>
      <c r="AX32" s="39">
        <f t="shared" si="11"/>
        <v>42.068741354685187</v>
      </c>
      <c r="AY32" s="40"/>
      <c r="AZ32" s="39">
        <f t="shared" si="7"/>
        <v>2135.3302323963812</v>
      </c>
      <c r="BB32" s="39">
        <v>0</v>
      </c>
      <c r="BC32" s="41"/>
      <c r="BD32" s="39">
        <v>0</v>
      </c>
      <c r="BE32" s="41"/>
      <c r="BF32" s="39">
        <f t="shared" si="12"/>
        <v>42.914206198299496</v>
      </c>
      <c r="BG32" s="40"/>
      <c r="BH32" s="39">
        <f t="shared" si="8"/>
        <v>2178.2444385946806</v>
      </c>
    </row>
    <row r="33" spans="1:60" x14ac:dyDescent="0.25">
      <c r="A33" s="15" t="s">
        <v>48</v>
      </c>
      <c r="B33" s="39">
        <f>'[3]SUMMARY BUDGET MOVES '!I32+'[3]SUMMARY BUDGET MOVES '!R32+'[3]SUMMARY BUDGET MOVES '!S32</f>
        <v>2163.7350000000001</v>
      </c>
      <c r="C33" s="40"/>
      <c r="D33" s="39">
        <f>SUM('[3]SUMMARY BUDGET MOVES '!J32)</f>
        <v>0</v>
      </c>
      <c r="E33" s="40"/>
      <c r="F33" s="39">
        <f t="shared" si="0"/>
        <v>2163.7350000000001</v>
      </c>
      <c r="G33" s="40"/>
      <c r="H33" s="39">
        <f>SUM('[3]SUMMARY BUDGET MOVES '!L32:N32)</f>
        <v>-122</v>
      </c>
      <c r="I33" s="40"/>
      <c r="J33" s="39">
        <f t="shared" si="1"/>
        <v>2041.7350000000001</v>
      </c>
      <c r="K33" s="40"/>
      <c r="L33" s="39">
        <f>SUM('[3]SUMMARY BUDGET MOVES '!P32)</f>
        <v>-24</v>
      </c>
      <c r="M33" s="40"/>
      <c r="N33" s="39">
        <f t="shared" si="2"/>
        <v>2017.7350000000001</v>
      </c>
      <c r="O33" s="40"/>
      <c r="P33" s="39">
        <f>SUM('[3]SUMMARY BUDGET MOVES '!T32:Y32)</f>
        <v>0</v>
      </c>
      <c r="Q33" s="41"/>
      <c r="R33" s="39">
        <f>SUM('[3]SUMMARY BUDGET MOVES '!Z32:AB32)</f>
        <v>0</v>
      </c>
      <c r="S33" s="40"/>
      <c r="T33" s="39">
        <f t="shared" si="3"/>
        <v>2017.7350000000001</v>
      </c>
      <c r="U33" s="40"/>
      <c r="V33" s="39">
        <f>SUM('[3]SUMMARY BUDGET MOVES '!AD32:AF32)+SUM('[3]SUMMARY BUDGET MOVES '!AL32:AO32)+'[3]SUMMARY BUDGET MOVES '!AJ32</f>
        <v>67</v>
      </c>
      <c r="W33" s="41"/>
      <c r="X33" s="39">
        <f>SUM('[3]SUMMARY BUDGET MOVES '!AP32:AR32)+'[3]SUMMARY BUDGET MOVES '!AJ32+'[3]SUMMARY BUDGET MOVES '!AK32</f>
        <v>-892</v>
      </c>
      <c r="Y33" s="41"/>
      <c r="Z33" s="39">
        <f>'[3]SUMMARY BUDGET MOVES '!AT32+'[3]SUMMARY BUDGET MOVES '!AI32</f>
        <v>23.854700000000001</v>
      </c>
      <c r="AA33" s="40"/>
      <c r="AB33" s="39">
        <f t="shared" si="4"/>
        <v>1216.5897000000002</v>
      </c>
      <c r="AC33" s="40"/>
      <c r="AD33" s="39">
        <v>0</v>
      </c>
      <c r="AE33" s="41"/>
      <c r="AF33" s="39">
        <v>-50</v>
      </c>
      <c r="AG33" s="41"/>
      <c r="AH33" s="39">
        <f t="shared" si="9"/>
        <v>24.450073554166671</v>
      </c>
      <c r="AI33" s="40"/>
      <c r="AJ33" s="39">
        <f t="shared" si="5"/>
        <v>1191.0397735541669</v>
      </c>
      <c r="AK33" s="40"/>
      <c r="AL33" s="39">
        <v>0</v>
      </c>
      <c r="AM33" s="41"/>
      <c r="AN33" s="39">
        <v>0</v>
      </c>
      <c r="AO33" s="41"/>
      <c r="AP33" s="39">
        <f t="shared" si="10"/>
        <v>23.936591004623327</v>
      </c>
      <c r="AQ33" s="40"/>
      <c r="AR33" s="39">
        <f t="shared" si="6"/>
        <v>1214.9763645587902</v>
      </c>
      <c r="AT33" s="39">
        <v>0</v>
      </c>
      <c r="AU33" s="41"/>
      <c r="AV33" s="39">
        <v>0</v>
      </c>
      <c r="AW33" s="41"/>
      <c r="AX33" s="39">
        <f t="shared" si="11"/>
        <v>24.417649993285693</v>
      </c>
      <c r="AY33" s="40"/>
      <c r="AZ33" s="39">
        <f t="shared" si="7"/>
        <v>1239.394014552076</v>
      </c>
      <c r="BB33" s="39">
        <v>0</v>
      </c>
      <c r="BC33" s="41"/>
      <c r="BD33" s="39">
        <v>0</v>
      </c>
      <c r="BE33" s="41"/>
      <c r="BF33" s="39">
        <f t="shared" si="12"/>
        <v>24.908376931345195</v>
      </c>
      <c r="BG33" s="40"/>
      <c r="BH33" s="39">
        <f t="shared" si="8"/>
        <v>1264.3023914834212</v>
      </c>
    </row>
    <row r="34" spans="1:60" x14ac:dyDescent="0.25">
      <c r="A34" s="15" t="s">
        <v>49</v>
      </c>
      <c r="B34" s="39">
        <f>'[3]SUMMARY BUDGET MOVES '!I33+'[3]SUMMARY BUDGET MOVES '!R33+'[3]SUMMARY BUDGET MOVES '!S33</f>
        <v>619.91799999999989</v>
      </c>
      <c r="C34" s="40"/>
      <c r="D34" s="39">
        <f>SUM('[3]SUMMARY BUDGET MOVES '!J33)</f>
        <v>0</v>
      </c>
      <c r="E34" s="40"/>
      <c r="F34" s="39">
        <f t="shared" si="0"/>
        <v>619.91799999999989</v>
      </c>
      <c r="G34" s="40"/>
      <c r="H34" s="39">
        <f>SUM('[3]SUMMARY BUDGET MOVES '!L33:N33)</f>
        <v>0</v>
      </c>
      <c r="I34" s="40"/>
      <c r="J34" s="39">
        <f t="shared" si="1"/>
        <v>619.91799999999989</v>
      </c>
      <c r="K34" s="40"/>
      <c r="L34" s="39">
        <f>SUM('[3]SUMMARY BUDGET MOVES '!P33)</f>
        <v>-100</v>
      </c>
      <c r="M34" s="40"/>
      <c r="N34" s="39">
        <f t="shared" si="2"/>
        <v>519.91799999999989</v>
      </c>
      <c r="O34" s="40"/>
      <c r="P34" s="39">
        <f>SUM('[3]SUMMARY BUDGET MOVES '!T33:Y33)</f>
        <v>0</v>
      </c>
      <c r="Q34" s="41"/>
      <c r="R34" s="39">
        <f>SUM('[3]SUMMARY BUDGET MOVES '!Z33:AB33)</f>
        <v>0</v>
      </c>
      <c r="S34" s="40"/>
      <c r="T34" s="39">
        <f t="shared" si="3"/>
        <v>519.91799999999989</v>
      </c>
      <c r="U34" s="40"/>
      <c r="V34" s="39">
        <f>SUM('[3]SUMMARY BUDGET MOVES '!AD33:AF33)+SUM('[3]SUMMARY BUDGET MOVES '!AL33:AO33)+'[3]SUMMARY BUDGET MOVES '!AJ33</f>
        <v>13</v>
      </c>
      <c r="W34" s="41"/>
      <c r="X34" s="39">
        <f>SUM('[3]SUMMARY BUDGET MOVES '!AP33:AR33)+'[3]SUMMARY BUDGET MOVES '!AJ33+'[3]SUMMARY BUDGET MOVES '!AK33</f>
        <v>0</v>
      </c>
      <c r="Y34" s="41"/>
      <c r="Z34" s="39">
        <f>'[3]SUMMARY BUDGET MOVES '!AT33+'[3]SUMMARY BUDGET MOVES '!AI33</f>
        <v>10.658359999999998</v>
      </c>
      <c r="AA34" s="40"/>
      <c r="AB34" s="39">
        <f t="shared" si="4"/>
        <v>543.57635999999991</v>
      </c>
      <c r="AC34" s="40"/>
      <c r="AD34" s="39">
        <v>0</v>
      </c>
      <c r="AE34" s="41"/>
      <c r="AF34" s="39">
        <v>0</v>
      </c>
      <c r="AG34" s="41"/>
      <c r="AH34" s="39">
        <f t="shared" si="9"/>
        <v>10.924374901666665</v>
      </c>
      <c r="AI34" s="40"/>
      <c r="AJ34" s="39">
        <f t="shared" si="5"/>
        <v>554.50073490166653</v>
      </c>
      <c r="AK34" s="40"/>
      <c r="AL34" s="39">
        <v>0</v>
      </c>
      <c r="AM34" s="41"/>
      <c r="AN34" s="39">
        <v>0</v>
      </c>
      <c r="AO34" s="41"/>
      <c r="AP34" s="39">
        <f t="shared" si="10"/>
        <v>11.143924491704325</v>
      </c>
      <c r="AQ34" s="40"/>
      <c r="AR34" s="39">
        <f t="shared" si="6"/>
        <v>565.64465939337083</v>
      </c>
      <c r="AT34" s="39">
        <v>0</v>
      </c>
      <c r="AU34" s="41"/>
      <c r="AV34" s="39">
        <v>0</v>
      </c>
      <c r="AW34" s="41"/>
      <c r="AX34" s="39">
        <f t="shared" si="11"/>
        <v>11.367886418641774</v>
      </c>
      <c r="AY34" s="40"/>
      <c r="AZ34" s="39">
        <f t="shared" si="7"/>
        <v>577.0125458120126</v>
      </c>
      <c r="BB34" s="39">
        <v>0</v>
      </c>
      <c r="BC34" s="41"/>
      <c r="BD34" s="39">
        <v>0</v>
      </c>
      <c r="BE34" s="41"/>
      <c r="BF34" s="39">
        <f t="shared" si="12"/>
        <v>11.596349358194198</v>
      </c>
      <c r="BG34" s="40"/>
      <c r="BH34" s="39">
        <f t="shared" si="8"/>
        <v>588.60889517020678</v>
      </c>
    </row>
    <row r="35" spans="1:60" x14ac:dyDescent="0.25">
      <c r="A35" s="15" t="s">
        <v>50</v>
      </c>
      <c r="B35" s="39">
        <f>'[3]SUMMARY BUDGET MOVES '!I34+'[3]SUMMARY BUDGET MOVES '!R34+'[3]SUMMARY BUDGET MOVES '!S34</f>
        <v>172</v>
      </c>
      <c r="C35" s="40"/>
      <c r="D35" s="39">
        <f>SUM('[3]SUMMARY BUDGET MOVES '!J34)</f>
        <v>0</v>
      </c>
      <c r="E35" s="40"/>
      <c r="F35" s="39">
        <f t="shared" si="0"/>
        <v>172</v>
      </c>
      <c r="G35" s="40"/>
      <c r="H35" s="39">
        <f>SUM('[3]SUMMARY BUDGET MOVES '!L34:N34)</f>
        <v>0</v>
      </c>
      <c r="I35" s="40"/>
      <c r="J35" s="39">
        <f t="shared" si="1"/>
        <v>172</v>
      </c>
      <c r="K35" s="40"/>
      <c r="L35" s="39">
        <f>SUM('[3]SUMMARY BUDGET MOVES '!P34)</f>
        <v>0</v>
      </c>
      <c r="M35" s="40"/>
      <c r="N35" s="39">
        <f t="shared" si="2"/>
        <v>172</v>
      </c>
      <c r="O35" s="40"/>
      <c r="P35" s="39">
        <f>SUM('[3]SUMMARY BUDGET MOVES '!T34:Y34)</f>
        <v>0</v>
      </c>
      <c r="Q35" s="41"/>
      <c r="R35" s="39">
        <f>SUM('[3]SUMMARY BUDGET MOVES '!Z34:AB34)</f>
        <v>0</v>
      </c>
      <c r="S35" s="40"/>
      <c r="T35" s="39">
        <f t="shared" si="3"/>
        <v>172</v>
      </c>
      <c r="U35" s="40"/>
      <c r="V35" s="39">
        <f>SUM('[3]SUMMARY BUDGET MOVES '!AD34:AF34)+SUM('[3]SUMMARY BUDGET MOVES '!AL34:AO34)+'[3]SUMMARY BUDGET MOVES '!AJ34</f>
        <v>0</v>
      </c>
      <c r="W35" s="41"/>
      <c r="X35" s="39">
        <f>SUM('[3]SUMMARY BUDGET MOVES '!AP34:AR34)+'[3]SUMMARY BUDGET MOVES '!AJ34+'[3]SUMMARY BUDGET MOVES '!AK34</f>
        <v>0</v>
      </c>
      <c r="Y35" s="41"/>
      <c r="Z35" s="39">
        <f>'[3]SUMMARY BUDGET MOVES '!AT34+'[3]SUMMARY BUDGET MOVES '!AI34</f>
        <v>3.44</v>
      </c>
      <c r="AA35" s="40"/>
      <c r="AB35" s="39">
        <f t="shared" si="4"/>
        <v>175.44</v>
      </c>
      <c r="AC35" s="40"/>
      <c r="AD35" s="39">
        <v>0</v>
      </c>
      <c r="AE35" s="41"/>
      <c r="AF35" s="39">
        <v>0</v>
      </c>
      <c r="AG35" s="41"/>
      <c r="AH35" s="39">
        <f t="shared" si="9"/>
        <v>3.5258566666666669</v>
      </c>
      <c r="AI35" s="40"/>
      <c r="AJ35" s="39">
        <f t="shared" si="5"/>
        <v>178.96585666666667</v>
      </c>
      <c r="AK35" s="40"/>
      <c r="AL35" s="39">
        <v>0</v>
      </c>
      <c r="AM35" s="41"/>
      <c r="AN35" s="39">
        <v>0</v>
      </c>
      <c r="AO35" s="41"/>
      <c r="AP35" s="39">
        <f t="shared" si="10"/>
        <v>3.5967165916203707</v>
      </c>
      <c r="AQ35" s="40"/>
      <c r="AR35" s="39">
        <f t="shared" si="6"/>
        <v>182.56257325828705</v>
      </c>
      <c r="AT35" s="39">
        <v>0</v>
      </c>
      <c r="AU35" s="41"/>
      <c r="AV35" s="39">
        <v>0</v>
      </c>
      <c r="AW35" s="41"/>
      <c r="AX35" s="39">
        <f t="shared" si="11"/>
        <v>3.6690006042325183</v>
      </c>
      <c r="AY35" s="40"/>
      <c r="AZ35" s="39">
        <f t="shared" si="7"/>
        <v>186.23157386251955</v>
      </c>
      <c r="BB35" s="39">
        <v>0</v>
      </c>
      <c r="BC35" s="41"/>
      <c r="BD35" s="39">
        <v>0</v>
      </c>
      <c r="BE35" s="41"/>
      <c r="BF35" s="39">
        <f t="shared" si="12"/>
        <v>3.742737324709247</v>
      </c>
      <c r="BG35" s="40"/>
      <c r="BH35" s="39">
        <f t="shared" si="8"/>
        <v>189.97431118722881</v>
      </c>
    </row>
    <row r="36" spans="1:60" x14ac:dyDescent="0.25">
      <c r="A36" s="15" t="s">
        <v>51</v>
      </c>
      <c r="B36" s="39">
        <f>'[3]SUMMARY BUDGET MOVES '!I35+'[3]SUMMARY BUDGET MOVES '!R35+'[3]SUMMARY BUDGET MOVES '!S35</f>
        <v>1045.675</v>
      </c>
      <c r="C36" s="40"/>
      <c r="D36" s="39">
        <f>SUM('[3]SUMMARY BUDGET MOVES '!J35)</f>
        <v>0</v>
      </c>
      <c r="E36" s="40"/>
      <c r="F36" s="39">
        <f t="shared" si="0"/>
        <v>1045.675</v>
      </c>
      <c r="G36" s="40"/>
      <c r="H36" s="39">
        <f>SUM('[3]SUMMARY BUDGET MOVES '!L35:N35)</f>
        <v>0</v>
      </c>
      <c r="I36" s="40"/>
      <c r="J36" s="39">
        <f t="shared" si="1"/>
        <v>1045.675</v>
      </c>
      <c r="K36" s="40"/>
      <c r="L36" s="39">
        <f>SUM('[3]SUMMARY BUDGET MOVES '!P35)</f>
        <v>0</v>
      </c>
      <c r="M36" s="40"/>
      <c r="N36" s="39">
        <f t="shared" si="2"/>
        <v>1045.675</v>
      </c>
      <c r="O36" s="40"/>
      <c r="P36" s="39">
        <f>SUM('[3]SUMMARY BUDGET MOVES '!T35:Y35)</f>
        <v>0</v>
      </c>
      <c r="Q36" s="41"/>
      <c r="R36" s="39">
        <f>SUM('[3]SUMMARY BUDGET MOVES '!Z35:AB35)</f>
        <v>0</v>
      </c>
      <c r="S36" s="40"/>
      <c r="T36" s="39">
        <f t="shared" si="3"/>
        <v>1045.675</v>
      </c>
      <c r="U36" s="40"/>
      <c r="V36" s="39">
        <f>SUM('[3]SUMMARY BUDGET MOVES '!AD35:AF35)+SUM('[3]SUMMARY BUDGET MOVES '!AL35:AO35)+'[3]SUMMARY BUDGET MOVES '!AJ35</f>
        <v>0</v>
      </c>
      <c r="W36" s="41"/>
      <c r="X36" s="39">
        <f>SUM('[3]SUMMARY BUDGET MOVES '!AP35:AR35)+'[3]SUMMARY BUDGET MOVES '!AJ35+'[3]SUMMARY BUDGET MOVES '!AK35</f>
        <v>0</v>
      </c>
      <c r="Y36" s="41"/>
      <c r="Z36" s="39">
        <f>'[3]SUMMARY BUDGET MOVES '!AT35+'[3]SUMMARY BUDGET MOVES '!AI35</f>
        <v>20.913499999999999</v>
      </c>
      <c r="AA36" s="40"/>
      <c r="AB36" s="39">
        <f t="shared" si="4"/>
        <v>1066.5884999999998</v>
      </c>
      <c r="AC36" s="40"/>
      <c r="AD36" s="39">
        <v>0</v>
      </c>
      <c r="AE36" s="41"/>
      <c r="AF36" s="39">
        <v>0</v>
      </c>
      <c r="AG36" s="41"/>
      <c r="AH36" s="39">
        <f t="shared" si="9"/>
        <v>21.435466104166665</v>
      </c>
      <c r="AI36" s="40"/>
      <c r="AJ36" s="39">
        <f t="shared" si="5"/>
        <v>1088.0239661041664</v>
      </c>
      <c r="AK36" s="40"/>
      <c r="AL36" s="39">
        <v>0</v>
      </c>
      <c r="AM36" s="41"/>
      <c r="AN36" s="39">
        <v>0</v>
      </c>
      <c r="AO36" s="41"/>
      <c r="AP36" s="39">
        <f t="shared" si="10"/>
        <v>21.866259429899014</v>
      </c>
      <c r="AQ36" s="40"/>
      <c r="AR36" s="39">
        <f t="shared" si="6"/>
        <v>1109.8902255340654</v>
      </c>
      <c r="AT36" s="39">
        <v>0</v>
      </c>
      <c r="AU36" s="41"/>
      <c r="AV36" s="39">
        <v>0</v>
      </c>
      <c r="AW36" s="41"/>
      <c r="AX36" s="39">
        <f t="shared" si="11"/>
        <v>22.305710504830454</v>
      </c>
      <c r="AY36" s="40"/>
      <c r="AZ36" s="39">
        <f t="shared" si="7"/>
        <v>1132.1959360388958</v>
      </c>
      <c r="BB36" s="39">
        <v>0</v>
      </c>
      <c r="BC36" s="41"/>
      <c r="BD36" s="39">
        <v>0</v>
      </c>
      <c r="BE36" s="41"/>
      <c r="BF36" s="39">
        <f t="shared" si="12"/>
        <v>22.753993325670585</v>
      </c>
      <c r="BG36" s="40"/>
      <c r="BH36" s="39">
        <f t="shared" si="8"/>
        <v>1154.9499293645663</v>
      </c>
    </row>
    <row r="37" spans="1:60" x14ac:dyDescent="0.25">
      <c r="A37" s="15" t="s">
        <v>52</v>
      </c>
      <c r="B37" s="39">
        <f>'[3]SUMMARY BUDGET MOVES '!I36+'[3]SUMMARY BUDGET MOVES '!R36+'[3]SUMMARY BUDGET MOVES '!S36</f>
        <v>2402.192</v>
      </c>
      <c r="C37" s="40"/>
      <c r="D37" s="39">
        <f>SUM('[3]SUMMARY BUDGET MOVES '!J36)</f>
        <v>400</v>
      </c>
      <c r="E37" s="40"/>
      <c r="F37" s="39">
        <f t="shared" si="0"/>
        <v>2802.192</v>
      </c>
      <c r="G37" s="40"/>
      <c r="H37" s="39">
        <f>SUM('[3]SUMMARY BUDGET MOVES '!L36:N36)</f>
        <v>2</v>
      </c>
      <c r="I37" s="40"/>
      <c r="J37" s="39">
        <f t="shared" si="1"/>
        <v>2804.192</v>
      </c>
      <c r="K37" s="40"/>
      <c r="L37" s="39">
        <f>SUM('[3]SUMMARY BUDGET MOVES '!P36)</f>
        <v>-305</v>
      </c>
      <c r="M37" s="40"/>
      <c r="N37" s="39">
        <f t="shared" si="2"/>
        <v>2499.192</v>
      </c>
      <c r="O37" s="40"/>
      <c r="P37" s="39">
        <f>SUM('[3]SUMMARY BUDGET MOVES '!T36:Y36)</f>
        <v>0</v>
      </c>
      <c r="Q37" s="41"/>
      <c r="R37" s="39">
        <f>SUM('[3]SUMMARY BUDGET MOVES '!Z36:AB36)</f>
        <v>0</v>
      </c>
      <c r="S37" s="40"/>
      <c r="T37" s="39">
        <f t="shared" si="3"/>
        <v>2499.192</v>
      </c>
      <c r="U37" s="40"/>
      <c r="V37" s="39">
        <f>SUM('[3]SUMMARY BUDGET MOVES '!AD36:AF36)+SUM('[3]SUMMARY BUDGET MOVES '!AL36:AO36)+'[3]SUMMARY BUDGET MOVES '!AJ36</f>
        <v>200</v>
      </c>
      <c r="W37" s="41"/>
      <c r="X37" s="39">
        <f>SUM('[3]SUMMARY BUDGET MOVES '!AP36:AR36)+'[3]SUMMARY BUDGET MOVES '!AJ36+'[3]SUMMARY BUDGET MOVES '!AK36</f>
        <v>0</v>
      </c>
      <c r="Y37" s="41"/>
      <c r="Z37" s="39">
        <f>'[3]SUMMARY BUDGET MOVES '!AT36+'[3]SUMMARY BUDGET MOVES '!AI36</f>
        <v>53.983840000000001</v>
      </c>
      <c r="AA37" s="40"/>
      <c r="AB37" s="39">
        <f t="shared" si="4"/>
        <v>2753.1758399999999</v>
      </c>
      <c r="AC37" s="40"/>
      <c r="AD37" s="39">
        <v>0</v>
      </c>
      <c r="AE37" s="41"/>
      <c r="AF37" s="39">
        <v>0</v>
      </c>
      <c r="AG37" s="41"/>
      <c r="AH37" s="39">
        <f t="shared" si="9"/>
        <v>55.331186673333328</v>
      </c>
      <c r="AI37" s="40"/>
      <c r="AJ37" s="39">
        <f t="shared" si="5"/>
        <v>2808.5070266733333</v>
      </c>
      <c r="AK37" s="40"/>
      <c r="AL37" s="39">
        <v>0</v>
      </c>
      <c r="AM37" s="41"/>
      <c r="AN37" s="39">
        <v>0</v>
      </c>
      <c r="AO37" s="41"/>
      <c r="AP37" s="39">
        <f t="shared" si="10"/>
        <v>56.443189827726577</v>
      </c>
      <c r="AQ37" s="40"/>
      <c r="AR37" s="39">
        <f t="shared" si="6"/>
        <v>2864.9502165010599</v>
      </c>
      <c r="AT37" s="39">
        <v>0</v>
      </c>
      <c r="AU37" s="41"/>
      <c r="AV37" s="39">
        <v>0</v>
      </c>
      <c r="AW37" s="41"/>
      <c r="AX37" s="39">
        <f t="shared" si="11"/>
        <v>57.577541156625472</v>
      </c>
      <c r="AY37" s="40"/>
      <c r="AZ37" s="39">
        <f t="shared" si="7"/>
        <v>2922.5277576576855</v>
      </c>
      <c r="BB37" s="39">
        <v>0</v>
      </c>
      <c r="BC37" s="41"/>
      <c r="BD37" s="39">
        <v>0</v>
      </c>
      <c r="BE37" s="41"/>
      <c r="BF37" s="39">
        <f t="shared" si="12"/>
        <v>58.734689796259318</v>
      </c>
      <c r="BG37" s="40"/>
      <c r="BH37" s="39">
        <f t="shared" si="8"/>
        <v>2981.2624474539448</v>
      </c>
    </row>
    <row r="38" spans="1:60" x14ac:dyDescent="0.25">
      <c r="A38" s="15" t="s">
        <v>53</v>
      </c>
      <c r="B38" s="39">
        <f>'[3]SUMMARY BUDGET MOVES '!I37+'[3]SUMMARY BUDGET MOVES '!R37+'[3]SUMMARY BUDGET MOVES '!S37</f>
        <v>1643</v>
      </c>
      <c r="C38" s="40"/>
      <c r="D38" s="39">
        <f>SUM('[3]SUMMARY BUDGET MOVES '!J37)</f>
        <v>0</v>
      </c>
      <c r="E38" s="40"/>
      <c r="F38" s="39">
        <f t="shared" si="0"/>
        <v>1643</v>
      </c>
      <c r="G38" s="40"/>
      <c r="H38" s="39">
        <f>SUM('[3]SUMMARY BUDGET MOVES '!L37:N37)</f>
        <v>0</v>
      </c>
      <c r="I38" s="40"/>
      <c r="J38" s="39">
        <f t="shared" si="1"/>
        <v>1643</v>
      </c>
      <c r="K38" s="40"/>
      <c r="L38" s="39">
        <f>SUM('[3]SUMMARY BUDGET MOVES '!P37)</f>
        <v>0</v>
      </c>
      <c r="M38" s="40"/>
      <c r="N38" s="39">
        <f t="shared" si="2"/>
        <v>1643</v>
      </c>
      <c r="O38" s="40"/>
      <c r="P38" s="39">
        <f>SUM('[3]SUMMARY BUDGET MOVES '!T37:Y37)</f>
        <v>0</v>
      </c>
      <c r="Q38" s="41"/>
      <c r="R38" s="39">
        <f>SUM('[3]SUMMARY BUDGET MOVES '!Z37:AB37)</f>
        <v>0</v>
      </c>
      <c r="S38" s="40"/>
      <c r="T38" s="39">
        <f t="shared" si="3"/>
        <v>1643</v>
      </c>
      <c r="U38" s="40"/>
      <c r="V38" s="39">
        <f>SUM('[3]SUMMARY BUDGET MOVES '!AD37:AF37)+SUM('[3]SUMMARY BUDGET MOVES '!AL37:AO37)+'[3]SUMMARY BUDGET MOVES '!AJ37</f>
        <v>0</v>
      </c>
      <c r="W38" s="41"/>
      <c r="X38" s="39">
        <f>SUM('[3]SUMMARY BUDGET MOVES '!AP37:AR37)+'[3]SUMMARY BUDGET MOVES '!AJ37+'[3]SUMMARY BUDGET MOVES '!AK37</f>
        <v>0</v>
      </c>
      <c r="Y38" s="41"/>
      <c r="Z38" s="39">
        <f>'[3]SUMMARY BUDGET MOVES '!AT37+'[3]SUMMARY BUDGET MOVES '!AI37</f>
        <v>24.645</v>
      </c>
      <c r="AA38" s="40"/>
      <c r="AB38" s="39">
        <f t="shared" si="4"/>
        <v>1667.645</v>
      </c>
      <c r="AC38" s="40"/>
      <c r="AD38" s="39">
        <v>485</v>
      </c>
      <c r="AE38" s="41"/>
      <c r="AF38" s="39">
        <v>-80</v>
      </c>
      <c r="AG38" s="41"/>
      <c r="AH38" s="39">
        <f>(AB38*5%/12*5)+(AB38*5%/12*5)*(5%/12*7)+(AB38+AD38)*5%/12*7</f>
        <v>98.541409288194444</v>
      </c>
      <c r="AI38" s="40"/>
      <c r="AJ38" s="39">
        <f t="shared" si="5"/>
        <v>2171.1864092881942</v>
      </c>
      <c r="AK38" s="40"/>
      <c r="AL38" s="39">
        <v>0</v>
      </c>
      <c r="AM38" s="41"/>
      <c r="AN38" s="39">
        <v>-80</v>
      </c>
      <c r="AO38" s="41"/>
      <c r="AP38" s="39">
        <f>(AJ38*5%/12*5)+(AJ38*5%/12*5)*(5%/12*7)+(AJ38+AL38)*5%/12*7</f>
        <v>109.87861776172026</v>
      </c>
      <c r="AQ38" s="40"/>
      <c r="AR38" s="39">
        <f t="shared" si="6"/>
        <v>2201.0650270499145</v>
      </c>
      <c r="AT38" s="39">
        <v>0</v>
      </c>
      <c r="AU38" s="41"/>
      <c r="AV38" s="39">
        <v>-80</v>
      </c>
      <c r="AW38" s="41"/>
      <c r="AX38" s="39">
        <f>(AR38*5%/12*5)+(AR38*5%/12*5)*(5%/12*7)+(AR38+AT38)*5%/12*7</f>
        <v>111.39070405990452</v>
      </c>
      <c r="AY38" s="40"/>
      <c r="AZ38" s="39">
        <f t="shared" si="7"/>
        <v>2232.4557311098192</v>
      </c>
      <c r="BB38" s="39">
        <v>0</v>
      </c>
      <c r="BC38" s="41"/>
      <c r="BD38" s="39">
        <v>-80</v>
      </c>
      <c r="BE38" s="41"/>
      <c r="BF38" s="39">
        <f>(AZ38*5%/12*5)+(AZ38*5%/12*5)*(5%/12*7)+(AZ38+BB38)*5%/12*7</f>
        <v>112.97931347543616</v>
      </c>
      <c r="BG38" s="40"/>
      <c r="BH38" s="39">
        <f t="shared" si="8"/>
        <v>2265.4350445852556</v>
      </c>
    </row>
    <row r="39" spans="1:60" x14ac:dyDescent="0.25">
      <c r="A39" s="15" t="s">
        <v>54</v>
      </c>
      <c r="B39" s="39">
        <f>'[3]SUMMARY BUDGET MOVES '!I38+'[3]SUMMARY BUDGET MOVES '!R38+'[3]SUMMARY BUDGET MOVES '!S38</f>
        <v>232.62</v>
      </c>
      <c r="C39" s="40"/>
      <c r="D39" s="39">
        <f>SUM('[3]SUMMARY BUDGET MOVES '!J38)</f>
        <v>0</v>
      </c>
      <c r="E39" s="40"/>
      <c r="F39" s="39">
        <f t="shared" si="0"/>
        <v>232.62</v>
      </c>
      <c r="G39" s="40"/>
      <c r="H39" s="39">
        <f>SUM('[3]SUMMARY BUDGET MOVES '!L38:N38)</f>
        <v>0</v>
      </c>
      <c r="I39" s="40"/>
      <c r="J39" s="39">
        <f t="shared" si="1"/>
        <v>232.62</v>
      </c>
      <c r="K39" s="40"/>
      <c r="L39" s="39">
        <f>SUM('[3]SUMMARY BUDGET MOVES '!P38)</f>
        <v>0</v>
      </c>
      <c r="M39" s="40"/>
      <c r="N39" s="39">
        <f t="shared" si="2"/>
        <v>232.62</v>
      </c>
      <c r="O39" s="40"/>
      <c r="P39" s="39">
        <f>SUM('[3]SUMMARY BUDGET MOVES '!T38:Y38)</f>
        <v>0</v>
      </c>
      <c r="Q39" s="41"/>
      <c r="R39" s="39">
        <f>SUM('[3]SUMMARY BUDGET MOVES '!Z38:AB38)</f>
        <v>0</v>
      </c>
      <c r="S39" s="40"/>
      <c r="T39" s="39">
        <f t="shared" si="3"/>
        <v>232.62</v>
      </c>
      <c r="U39" s="40"/>
      <c r="V39" s="39">
        <f>SUM('[3]SUMMARY BUDGET MOVES '!AD38:AF38)+SUM('[3]SUMMARY BUDGET MOVES '!AL38:AO38)+'[3]SUMMARY BUDGET MOVES '!AJ38</f>
        <v>4</v>
      </c>
      <c r="W39" s="41"/>
      <c r="X39" s="39">
        <f>SUM('[3]SUMMARY BUDGET MOVES '!AP38:AR38)+'[3]SUMMARY BUDGET MOVES '!AJ38+'[3]SUMMARY BUDGET MOVES '!AK38</f>
        <v>-114</v>
      </c>
      <c r="Y39" s="41"/>
      <c r="Z39" s="39">
        <f>'[3]SUMMARY BUDGET MOVES '!AT38+'[3]SUMMARY BUDGET MOVES '!AI38</f>
        <v>3.0655000000000001</v>
      </c>
      <c r="AA39" s="40"/>
      <c r="AB39" s="39">
        <f t="shared" si="4"/>
        <v>125.6855</v>
      </c>
      <c r="AC39" s="40"/>
      <c r="AD39" s="39">
        <v>0</v>
      </c>
      <c r="AE39" s="41"/>
      <c r="AF39" s="39">
        <v>-28</v>
      </c>
      <c r="AG39" s="41"/>
      <c r="AH39" s="39">
        <f>(AB39*2%/12*5)+(AB39*2%/12*5)*(2%/12*7)+(AB39+AD39)*2%/12*7</f>
        <v>2.5259294236111112</v>
      </c>
      <c r="AI39" s="40"/>
      <c r="AJ39" s="39">
        <f t="shared" si="5"/>
        <v>100.21142942361112</v>
      </c>
      <c r="AK39" s="40"/>
      <c r="AL39" s="39">
        <v>0</v>
      </c>
      <c r="AM39" s="41"/>
      <c r="AN39" s="39">
        <v>0</v>
      </c>
      <c r="AO39" s="41"/>
      <c r="AP39" s="39">
        <f>(AJ39*2%/12*5)+(AJ39*2%/12*5)*(2%/12*7)+(AJ39+AL39)*2%/12*7</f>
        <v>2.0139713663328509</v>
      </c>
      <c r="AQ39" s="40"/>
      <c r="AR39" s="39">
        <f t="shared" si="6"/>
        <v>102.22540078994398</v>
      </c>
      <c r="AT39" s="39">
        <v>0</v>
      </c>
      <c r="AU39" s="41"/>
      <c r="AV39" s="39">
        <v>0</v>
      </c>
      <c r="AW39" s="41"/>
      <c r="AX39" s="39">
        <f>(AR39*2%/12*5)+(AR39*2%/12*5)*(2%/12*7)+(AR39+AT39)*2%/12*7</f>
        <v>2.0544465964312355</v>
      </c>
      <c r="AY39" s="40"/>
      <c r="AZ39" s="39">
        <f t="shared" si="7"/>
        <v>104.27984738637521</v>
      </c>
      <c r="BB39" s="39">
        <v>0</v>
      </c>
      <c r="BC39" s="41"/>
      <c r="BD39" s="39">
        <v>0</v>
      </c>
      <c r="BE39" s="41"/>
      <c r="BF39" s="39">
        <f>(AZ39*2%/12*5)+(AZ39*2%/12*5)*(2%/12*7)+(AZ39+BB39)*2%/12*7</f>
        <v>2.0957352662234019</v>
      </c>
      <c r="BG39" s="40"/>
      <c r="BH39" s="39">
        <f t="shared" si="8"/>
        <v>106.37558265259861</v>
      </c>
    </row>
    <row r="40" spans="1:60" x14ac:dyDescent="0.25">
      <c r="A40" s="15" t="s">
        <v>55</v>
      </c>
      <c r="B40" s="39">
        <f>'[3]SUMMARY BUDGET MOVES '!I39+'[3]SUMMARY BUDGET MOVES '!R39+'[3]SUMMARY BUDGET MOVES '!S39</f>
        <v>2955.598</v>
      </c>
      <c r="C40" s="40"/>
      <c r="D40" s="39">
        <f>SUM('[3]SUMMARY BUDGET MOVES '!J39)</f>
        <v>0</v>
      </c>
      <c r="E40" s="40"/>
      <c r="F40" s="39">
        <f t="shared" si="0"/>
        <v>2955.598</v>
      </c>
      <c r="G40" s="40"/>
      <c r="H40" s="39">
        <f>SUM('[3]SUMMARY BUDGET MOVES '!L39:N39)</f>
        <v>-1567</v>
      </c>
      <c r="I40" s="40"/>
      <c r="J40" s="39">
        <f t="shared" si="1"/>
        <v>1388.598</v>
      </c>
      <c r="K40" s="40"/>
      <c r="L40" s="39">
        <f>SUM('[3]SUMMARY BUDGET MOVES '!P39)</f>
        <v>0</v>
      </c>
      <c r="M40" s="40"/>
      <c r="N40" s="39">
        <f t="shared" si="2"/>
        <v>1388.598</v>
      </c>
      <c r="O40" s="40"/>
      <c r="P40" s="39">
        <f>SUM('[3]SUMMARY BUDGET MOVES '!T39:Y39)</f>
        <v>0</v>
      </c>
      <c r="Q40" s="41"/>
      <c r="R40" s="39">
        <f>SUM('[3]SUMMARY BUDGET MOVES '!Z39:AB39)</f>
        <v>0</v>
      </c>
      <c r="S40" s="40"/>
      <c r="T40" s="39">
        <f t="shared" si="3"/>
        <v>1388.598</v>
      </c>
      <c r="U40" s="40"/>
      <c r="V40" s="39">
        <f>SUM('[3]SUMMARY BUDGET MOVES '!AD39:AF39)+SUM('[3]SUMMARY BUDGET MOVES '!AL39:AO39)+'[3]SUMMARY BUDGET MOVES '!AJ39</f>
        <v>0</v>
      </c>
      <c r="W40" s="41"/>
      <c r="X40" s="39">
        <f>SUM('[3]SUMMARY BUDGET MOVES '!AP39:AR39)+'[3]SUMMARY BUDGET MOVES '!AJ39+'[3]SUMMARY BUDGET MOVES '!AK39</f>
        <v>0</v>
      </c>
      <c r="Y40" s="41"/>
      <c r="Z40" s="39">
        <f>'[3]SUMMARY BUDGET MOVES '!AT39+'[3]SUMMARY BUDGET MOVES '!AI39</f>
        <v>13.88598</v>
      </c>
      <c r="AA40" s="40"/>
      <c r="AB40" s="39">
        <f t="shared" si="4"/>
        <v>1402.48398</v>
      </c>
      <c r="AC40" s="40"/>
      <c r="AD40" s="39">
        <v>0</v>
      </c>
      <c r="AE40" s="41"/>
      <c r="AF40" s="39">
        <v>0</v>
      </c>
      <c r="AG40" s="41"/>
      <c r="AH40" s="39">
        <f>(AB40*2%/12*5)+(AB40*2%/12*5)*(2%/12*7)+(AB40+AD40)*2%/12*7</f>
        <v>28.186032209166669</v>
      </c>
      <c r="AI40" s="40"/>
      <c r="AJ40" s="39">
        <f t="shared" si="5"/>
        <v>1430.6700122091665</v>
      </c>
      <c r="AK40" s="40"/>
      <c r="AL40" s="39">
        <v>0</v>
      </c>
      <c r="AM40" s="41"/>
      <c r="AN40" s="39">
        <v>0</v>
      </c>
      <c r="AO40" s="41"/>
      <c r="AP40" s="39">
        <f>(AJ40*2%/12*5)+(AJ40*2%/12*5)*(2%/12*7)+(AJ40+AL40)*2%/12*7</f>
        <v>28.752493162037002</v>
      </c>
      <c r="AQ40" s="40"/>
      <c r="AR40" s="39">
        <f t="shared" si="6"/>
        <v>1459.4225053712034</v>
      </c>
      <c r="AT40" s="39">
        <v>0</v>
      </c>
      <c r="AU40" s="41"/>
      <c r="AV40" s="39">
        <v>0</v>
      </c>
      <c r="AW40" s="41"/>
      <c r="AX40" s="39">
        <f>(AR40*2%/12*5)+(AR40*2%/12*5)*(2%/12*7)+(AR40+AT40)*2%/12*7</f>
        <v>29.330338406557381</v>
      </c>
      <c r="AY40" s="40"/>
      <c r="AZ40" s="39">
        <f t="shared" si="7"/>
        <v>1488.7528437777607</v>
      </c>
      <c r="BB40" s="39">
        <v>0</v>
      </c>
      <c r="BC40" s="41"/>
      <c r="BD40" s="39">
        <v>0</v>
      </c>
      <c r="BE40" s="41"/>
      <c r="BF40" s="39">
        <f>(AZ40*2%/12*5)+(AZ40*2%/12*5)*(2%/12*7)+(AZ40+BB40)*2%/12*7</f>
        <v>29.919796735366944</v>
      </c>
      <c r="BG40" s="40"/>
      <c r="BH40" s="39">
        <f t="shared" si="8"/>
        <v>1518.6726405131276</v>
      </c>
    </row>
    <row r="41" spans="1:60" x14ac:dyDescent="0.25">
      <c r="A41" s="15" t="s">
        <v>56</v>
      </c>
      <c r="B41" s="39">
        <f>'[3]SUMMARY BUDGET MOVES '!I40+'[3]SUMMARY BUDGET MOVES '!R40+'[3]SUMMARY BUDGET MOVES '!S40</f>
        <v>1008.4630000000001</v>
      </c>
      <c r="C41" s="40"/>
      <c r="D41" s="39">
        <f>SUM('[3]SUMMARY BUDGET MOVES '!J40)</f>
        <v>0</v>
      </c>
      <c r="E41" s="40"/>
      <c r="F41" s="39">
        <f t="shared" si="0"/>
        <v>1008.4630000000001</v>
      </c>
      <c r="G41" s="40"/>
      <c r="H41" s="39">
        <f>SUM('[3]SUMMARY BUDGET MOVES '!L40:N40)</f>
        <v>-77</v>
      </c>
      <c r="I41" s="40"/>
      <c r="J41" s="39">
        <f t="shared" si="1"/>
        <v>931.46300000000008</v>
      </c>
      <c r="K41" s="40"/>
      <c r="L41" s="39">
        <f>SUM('[3]SUMMARY BUDGET MOVES '!P40)</f>
        <v>-88</v>
      </c>
      <c r="M41" s="40"/>
      <c r="N41" s="39">
        <f t="shared" si="2"/>
        <v>843.46300000000008</v>
      </c>
      <c r="O41" s="40"/>
      <c r="P41" s="39">
        <f>SUM('[3]SUMMARY BUDGET MOVES '!T40:Y40)</f>
        <v>0</v>
      </c>
      <c r="Q41" s="41"/>
      <c r="R41" s="39">
        <f>SUM('[3]SUMMARY BUDGET MOVES '!Z40:AB40)</f>
        <v>0</v>
      </c>
      <c r="S41" s="40"/>
      <c r="T41" s="39">
        <f t="shared" si="3"/>
        <v>843.46300000000008</v>
      </c>
      <c r="U41" s="40"/>
      <c r="V41" s="39">
        <f>SUM('[3]SUMMARY BUDGET MOVES '!AD40:AF40)+SUM('[3]SUMMARY BUDGET MOVES '!AL40:AO40)+'[3]SUMMARY BUDGET MOVES '!AJ40</f>
        <v>0</v>
      </c>
      <c r="W41" s="41"/>
      <c r="X41" s="39">
        <v>0</v>
      </c>
      <c r="Y41" s="41"/>
      <c r="Z41" s="39">
        <f>'[3]SUMMARY BUDGET MOVES '!AT40+'[3]SUMMARY BUDGET MOVES '!AI40</f>
        <v>16.869260000000001</v>
      </c>
      <c r="AA41" s="40"/>
      <c r="AB41" s="39">
        <f t="shared" si="4"/>
        <v>860.33226000000013</v>
      </c>
      <c r="AC41" s="40"/>
      <c r="AD41" s="39">
        <v>0</v>
      </c>
      <c r="AE41" s="41"/>
      <c r="AF41" s="39">
        <v>-50</v>
      </c>
      <c r="AG41" s="41"/>
      <c r="AH41" s="39">
        <f>(AB41*2%/12*5)+(AB41*2%/12*5)*(2%/12*7)+(AB41+AD41)*2%/12*7</f>
        <v>17.290288614166673</v>
      </c>
      <c r="AI41" s="40"/>
      <c r="AJ41" s="39">
        <f t="shared" si="5"/>
        <v>827.62254861416682</v>
      </c>
      <c r="AK41" s="40"/>
      <c r="AL41" s="39">
        <v>0</v>
      </c>
      <c r="AM41" s="41"/>
      <c r="AN41" s="39">
        <v>0</v>
      </c>
      <c r="AO41" s="41"/>
      <c r="AP41" s="39">
        <f>(AJ41*2%/12*5)+(AJ41*2%/12*5)*(2%/12*7)+(AJ41+AL41)*2%/12*7</f>
        <v>16.632914275620823</v>
      </c>
      <c r="AQ41" s="40"/>
      <c r="AR41" s="39">
        <f t="shared" si="6"/>
        <v>844.25546288978762</v>
      </c>
      <c r="AT41" s="39">
        <v>0</v>
      </c>
      <c r="AU41" s="41"/>
      <c r="AV41" s="39">
        <v>0</v>
      </c>
      <c r="AW41" s="41"/>
      <c r="AX41" s="39">
        <f>(AR41*2%/12*5)+(AR41*2%/12*5)*(2%/12*7)+(AR41+AT41)*2%/12*7</f>
        <v>16.967189650021147</v>
      </c>
      <c r="AY41" s="40"/>
      <c r="AZ41" s="39">
        <f t="shared" si="7"/>
        <v>861.22265253980879</v>
      </c>
      <c r="BB41" s="39">
        <v>0</v>
      </c>
      <c r="BC41" s="41"/>
      <c r="BD41" s="39">
        <v>0</v>
      </c>
      <c r="BE41" s="41"/>
      <c r="BF41" s="39">
        <f>(AZ41*2%/12*5)+(AZ41*2%/12*5)*(2%/12*7)+(AZ41+BB41)*2%/12*7</f>
        <v>17.30818303090421</v>
      </c>
      <c r="BG41" s="40"/>
      <c r="BH41" s="39">
        <f t="shared" si="8"/>
        <v>878.53083557071295</v>
      </c>
    </row>
    <row r="42" spans="1:60" x14ac:dyDescent="0.25">
      <c r="A42" s="15" t="s">
        <v>57</v>
      </c>
      <c r="B42" s="39">
        <f>'[3]SUMMARY BUDGET MOVES '!I41+'[3]SUMMARY BUDGET MOVES '!R41+'[3]SUMMARY BUDGET MOVES '!S41</f>
        <v>1957.377</v>
      </c>
      <c r="C42" s="40"/>
      <c r="D42" s="39">
        <f>SUM('[3]SUMMARY BUDGET MOVES '!J41)</f>
        <v>0</v>
      </c>
      <c r="E42" s="40"/>
      <c r="F42" s="39">
        <f t="shared" si="0"/>
        <v>1957.377</v>
      </c>
      <c r="G42" s="40"/>
      <c r="H42" s="39">
        <f>SUM('[3]SUMMARY BUDGET MOVES '!L41:N41)</f>
        <v>-81</v>
      </c>
      <c r="I42" s="40"/>
      <c r="J42" s="39">
        <f t="shared" si="1"/>
        <v>1876.377</v>
      </c>
      <c r="K42" s="40"/>
      <c r="L42" s="39">
        <f>SUM('[3]SUMMARY BUDGET MOVES '!P41)</f>
        <v>0</v>
      </c>
      <c r="M42" s="40"/>
      <c r="N42" s="39">
        <f t="shared" si="2"/>
        <v>1876.377</v>
      </c>
      <c r="O42" s="40"/>
      <c r="P42" s="39">
        <f>SUM('[3]SUMMARY BUDGET MOVES '!T41:Y41)</f>
        <v>0</v>
      </c>
      <c r="Q42" s="41"/>
      <c r="R42" s="39">
        <f>SUM('[3]SUMMARY BUDGET MOVES '!Z41:AB41)</f>
        <v>0</v>
      </c>
      <c r="S42" s="40"/>
      <c r="T42" s="39">
        <f t="shared" si="3"/>
        <v>1876.377</v>
      </c>
      <c r="U42" s="40"/>
      <c r="V42" s="39">
        <f>SUM('[3]SUMMARY BUDGET MOVES '!AD41:AF41)+SUM('[3]SUMMARY BUDGET MOVES '!AL41:AO41)+'[3]SUMMARY BUDGET MOVES '!AJ41</f>
        <v>200</v>
      </c>
      <c r="W42" s="41"/>
      <c r="X42" s="39">
        <v>0</v>
      </c>
      <c r="Y42" s="41"/>
      <c r="Z42" s="39">
        <f>'[3]SUMMARY BUDGET MOVES '!AT41+'[3]SUMMARY BUDGET MOVES '!AI41</f>
        <v>41.527540000000009</v>
      </c>
      <c r="AA42" s="40"/>
      <c r="AB42" s="39">
        <f t="shared" si="4"/>
        <v>2117.90454</v>
      </c>
      <c r="AC42" s="40"/>
      <c r="AD42" s="39">
        <v>0</v>
      </c>
      <c r="AE42" s="41"/>
      <c r="AF42" s="39">
        <v>-50</v>
      </c>
      <c r="AG42" s="41"/>
      <c r="AH42" s="39">
        <f>(AB42*2.5%/12*5)+(AB42*2.5%/12*5)*(2.5%/12*7)+(AB42+AD42)*2.5%/12*7</f>
        <v>53.269343790364587</v>
      </c>
      <c r="AI42" s="40"/>
      <c r="AJ42" s="39">
        <f t="shared" si="5"/>
        <v>2121.1738837903645</v>
      </c>
      <c r="AK42" s="40"/>
      <c r="AL42" s="39">
        <v>0</v>
      </c>
      <c r="AM42" s="41"/>
      <c r="AN42" s="39">
        <v>0</v>
      </c>
      <c r="AO42" s="41"/>
      <c r="AP42" s="39">
        <f>(AJ42*2.5%/12*5)+(AJ42*2.5%/12*5)*(2.5%/12*7)+(AJ42+AL42)*2.5%/12*7</f>
        <v>53.351574030230744</v>
      </c>
      <c r="AQ42" s="40"/>
      <c r="AR42" s="39">
        <f t="shared" si="6"/>
        <v>2174.5254578205954</v>
      </c>
      <c r="AT42" s="39">
        <v>0</v>
      </c>
      <c r="AU42" s="41"/>
      <c r="AV42" s="39">
        <v>0</v>
      </c>
      <c r="AW42" s="41"/>
      <c r="AX42" s="39">
        <f>(AR42*2.5%/12*5)+(AR42*2.5%/12*5)*(2.5%/12*7)+(AR42+AT42)*2.5%/12*7</f>
        <v>54.693468003777568</v>
      </c>
      <c r="AY42" s="40"/>
      <c r="AZ42" s="39">
        <f t="shared" si="7"/>
        <v>2229.2189258243729</v>
      </c>
      <c r="BB42" s="39">
        <v>0</v>
      </c>
      <c r="BC42" s="41"/>
      <c r="BD42" s="39">
        <v>0</v>
      </c>
      <c r="BE42" s="41"/>
      <c r="BF42" s="39">
        <f>(AZ42*2.5%/12*5)+(AZ42*2.5%/12*5)*(2.5%/12*7)+(AZ42+BB42)*2.5%/12*7</f>
        <v>56.069113173403821</v>
      </c>
      <c r="BG42" s="40"/>
      <c r="BH42" s="39">
        <f t="shared" si="8"/>
        <v>2285.2880389977768</v>
      </c>
    </row>
    <row r="43" spans="1:60" x14ac:dyDescent="0.25">
      <c r="A43" s="15" t="s">
        <v>58</v>
      </c>
      <c r="B43" s="39">
        <f>'[3]SUMMARY BUDGET MOVES '!I42+'[3]SUMMARY BUDGET MOVES '!R42+'[3]SUMMARY BUDGET MOVES '!S42</f>
        <v>-14495.097</v>
      </c>
      <c r="C43" s="40"/>
      <c r="D43" s="39">
        <f>SUM('[3]SUMMARY BUDGET MOVES '!J42)</f>
        <v>0</v>
      </c>
      <c r="E43" s="40"/>
      <c r="F43" s="39">
        <f t="shared" si="0"/>
        <v>-14495.097</v>
      </c>
      <c r="G43" s="40"/>
      <c r="H43" s="39">
        <f>SUM('[3]SUMMARY BUDGET MOVES '!L42:N42)</f>
        <v>11590</v>
      </c>
      <c r="I43" s="40"/>
      <c r="J43" s="39">
        <f t="shared" si="1"/>
        <v>-2905.0969999999998</v>
      </c>
      <c r="K43" s="40"/>
      <c r="L43" s="39">
        <f>SUM('[3]SUMMARY BUDGET MOVES '!P42)</f>
        <v>-349</v>
      </c>
      <c r="M43" s="40"/>
      <c r="N43" s="39">
        <f t="shared" si="2"/>
        <v>-3254.0969999999998</v>
      </c>
      <c r="O43" s="40"/>
      <c r="P43" s="39">
        <f>SUM('[3]SUMMARY BUDGET MOVES '!T42:Y42)</f>
        <v>-1098</v>
      </c>
      <c r="Q43" s="41"/>
      <c r="R43" s="39">
        <f>SUM('[3]SUMMARY BUDGET MOVES '!Z42:AB42)</f>
        <v>0</v>
      </c>
      <c r="S43" s="40"/>
      <c r="T43" s="39">
        <f t="shared" si="3"/>
        <v>-4352.0969999999998</v>
      </c>
      <c r="U43" s="40"/>
      <c r="V43" s="39">
        <f>SUM('[3]SUMMARY BUDGET MOVES '!AD42:AF42)+SUM('[3]SUMMARY BUDGET MOVES '!AL42:AO42)+'[3]SUMMARY BUDGET MOVES '!AJ42</f>
        <v>0</v>
      </c>
      <c r="W43" s="41"/>
      <c r="X43" s="39">
        <f>SUM('[3]SUMMARY BUDGET MOVES '!AP42:AR42)+'[3]SUMMARY BUDGET MOVES '!AJ42+'[3]SUMMARY BUDGET MOVES '!AK42</f>
        <v>-66</v>
      </c>
      <c r="Y43" s="41"/>
      <c r="Z43" s="39">
        <f>'[3]SUMMARY BUDGET MOVES '!AT42+'[3]SUMMARY BUDGET MOVES '!AI42</f>
        <v>-75.820200000000014</v>
      </c>
      <c r="AA43" s="40"/>
      <c r="AB43" s="39">
        <f t="shared" si="4"/>
        <v>-4493.9171999999999</v>
      </c>
      <c r="AC43" s="40"/>
      <c r="AD43" s="39">
        <v>0</v>
      </c>
      <c r="AE43" s="41"/>
      <c r="AF43" s="39">
        <v>0</v>
      </c>
      <c r="AG43" s="41"/>
      <c r="AH43" s="39">
        <f>Z43*102%</f>
        <v>-77.336604000000023</v>
      </c>
      <c r="AI43" s="40"/>
      <c r="AJ43" s="39">
        <f t="shared" si="5"/>
        <v>-4571.2538039999999</v>
      </c>
      <c r="AK43" s="40"/>
      <c r="AL43" s="39">
        <v>0</v>
      </c>
      <c r="AM43" s="41"/>
      <c r="AN43" s="39">
        <v>0</v>
      </c>
      <c r="AO43" s="41"/>
      <c r="AP43" s="39">
        <f>AH43*102%</f>
        <v>-78.883336080000021</v>
      </c>
      <c r="AQ43" s="40"/>
      <c r="AR43" s="39">
        <f t="shared" si="6"/>
        <v>-4650.1371400799999</v>
      </c>
      <c r="AT43" s="39">
        <v>0</v>
      </c>
      <c r="AU43" s="41"/>
      <c r="AV43" s="39">
        <v>0</v>
      </c>
      <c r="AW43" s="41"/>
      <c r="AX43" s="39">
        <f>AP43*102%</f>
        <v>-80.461002801600017</v>
      </c>
      <c r="AY43" s="40"/>
      <c r="AZ43" s="39">
        <f t="shared" si="7"/>
        <v>-4730.5981428816003</v>
      </c>
      <c r="BB43" s="39">
        <v>0</v>
      </c>
      <c r="BC43" s="41"/>
      <c r="BD43" s="39">
        <v>0</v>
      </c>
      <c r="BE43" s="41"/>
      <c r="BF43" s="39">
        <f>AX43*102%</f>
        <v>-82.070222857632018</v>
      </c>
      <c r="BG43" s="40"/>
      <c r="BH43" s="39">
        <f t="shared" si="8"/>
        <v>-4812.6683657392323</v>
      </c>
    </row>
    <row r="44" spans="1:60" x14ac:dyDescent="0.25">
      <c r="A44" s="15" t="s">
        <v>59</v>
      </c>
      <c r="B44" s="39">
        <f>'[3]SUMMARY BUDGET MOVES '!I43+'[3]SUMMARY BUDGET MOVES '!R43+'[3]SUMMARY BUDGET MOVES '!S43</f>
        <v>-66037.01350999999</v>
      </c>
      <c r="C44" s="40"/>
      <c r="D44" s="39">
        <f>SUM('[3]SUMMARY BUDGET MOVES '!J43)</f>
        <v>0</v>
      </c>
      <c r="E44" s="40"/>
      <c r="F44" s="39">
        <f t="shared" si="0"/>
        <v>-66037.01350999999</v>
      </c>
      <c r="G44" s="40"/>
      <c r="H44" s="39">
        <f>SUM('[3]SUMMARY BUDGET MOVES '!L43:N43)</f>
        <v>14895</v>
      </c>
      <c r="I44" s="40"/>
      <c r="J44" s="39">
        <f t="shared" si="1"/>
        <v>-51142.01350999999</v>
      </c>
      <c r="K44" s="40"/>
      <c r="L44" s="39">
        <f>SUM('[3]SUMMARY BUDGET MOVES '!P43)</f>
        <v>-73</v>
      </c>
      <c r="M44" s="40"/>
      <c r="N44" s="39">
        <f t="shared" si="2"/>
        <v>-51215.01350999999</v>
      </c>
      <c r="O44" s="40"/>
      <c r="P44" s="39">
        <f>SUM('[3]SUMMARY BUDGET MOVES '!T43:Y43)</f>
        <v>1098</v>
      </c>
      <c r="Q44" s="41"/>
      <c r="R44" s="39">
        <f>SUM('[3]SUMMARY BUDGET MOVES '!Z43:AB43)</f>
        <v>0</v>
      </c>
      <c r="S44" s="40"/>
      <c r="T44" s="39">
        <f t="shared" si="3"/>
        <v>-50117.01350999999</v>
      </c>
      <c r="U44" s="40"/>
      <c r="V44" s="39">
        <f>SUM('[3]SUMMARY BUDGET MOVES '!AD43:AF43)+SUM('[3]SUMMARY BUDGET MOVES '!AL43:AO43)+'[3]SUMMARY BUDGET MOVES '!AJ43</f>
        <v>587</v>
      </c>
      <c r="W44" s="41"/>
      <c r="X44" s="39">
        <f>SUM('[3]SUMMARY BUDGET MOVES '!AP43:AR43)+'[3]SUMMARY BUDGET MOVES '!AJ43+'[3]SUMMARY BUDGET MOVES '!AK43</f>
        <v>-1484</v>
      </c>
      <c r="Y44" s="41"/>
      <c r="Z44" s="39">
        <f>'[3]SUMMARY BUDGET MOVES '!AT43+'[3]SUMMARY BUDGET MOVES '!AI43</f>
        <v>-337.63965816666672</v>
      </c>
      <c r="AA44" s="40"/>
      <c r="AB44" s="39">
        <f t="shared" si="4"/>
        <v>-51351.653168166653</v>
      </c>
      <c r="AC44" s="40"/>
      <c r="AD44" s="39">
        <f>3660-467</f>
        <v>3193</v>
      </c>
      <c r="AE44" s="41"/>
      <c r="AF44" s="39">
        <f>-43+-71+-56+-500</f>
        <v>-670</v>
      </c>
      <c r="AG44" s="41"/>
      <c r="AH44" s="39">
        <f>Z44*102%</f>
        <v>-344.39245133000009</v>
      </c>
      <c r="AI44" s="40"/>
      <c r="AJ44" s="39">
        <f t="shared" si="5"/>
        <v>-49173.045619496654</v>
      </c>
      <c r="AK44" s="40"/>
      <c r="AL44" s="39">
        <v>0</v>
      </c>
      <c r="AM44" s="41"/>
      <c r="AN44" s="39">
        <v>-1000</v>
      </c>
      <c r="AO44" s="41"/>
      <c r="AP44" s="39">
        <f>AH44*102%</f>
        <v>-351.28030035660009</v>
      </c>
      <c r="AQ44" s="40"/>
      <c r="AR44" s="39">
        <f t="shared" si="6"/>
        <v>-50524.325919853254</v>
      </c>
      <c r="AT44" s="39">
        <v>0</v>
      </c>
      <c r="AU44" s="41"/>
      <c r="AV44" s="39">
        <f>-118+-2000</f>
        <v>-2118</v>
      </c>
      <c r="AW44" s="41"/>
      <c r="AX44" s="39">
        <f>AP44*102%</f>
        <v>-358.30590636373211</v>
      </c>
      <c r="AY44" s="40"/>
      <c r="AZ44" s="39">
        <f t="shared" si="7"/>
        <v>-53000.631826216988</v>
      </c>
      <c r="BB44" s="39">
        <v>0</v>
      </c>
      <c r="BC44" s="41"/>
      <c r="BD44" s="39">
        <v>0</v>
      </c>
      <c r="BE44" s="41"/>
      <c r="BF44" s="39">
        <f>AX44*102%</f>
        <v>-365.47202449100678</v>
      </c>
      <c r="BG44" s="40"/>
      <c r="BH44" s="39">
        <f t="shared" si="8"/>
        <v>-53366.103850707994</v>
      </c>
    </row>
    <row r="45" spans="1:60" x14ac:dyDescent="0.25">
      <c r="A45" s="15" t="s">
        <v>60</v>
      </c>
      <c r="B45" s="39"/>
      <c r="C45" s="40"/>
      <c r="D45" s="39"/>
      <c r="E45" s="40"/>
      <c r="F45" s="39"/>
      <c r="G45" s="40"/>
      <c r="H45" s="39"/>
      <c r="I45" s="40"/>
      <c r="J45" s="39"/>
      <c r="K45" s="40"/>
      <c r="L45" s="39"/>
      <c r="M45" s="40"/>
      <c r="N45" s="39">
        <f t="shared" si="2"/>
        <v>0</v>
      </c>
      <c r="O45" s="40"/>
      <c r="P45" s="39">
        <v>0</v>
      </c>
      <c r="Q45" s="41"/>
      <c r="R45" s="39"/>
      <c r="S45" s="40"/>
      <c r="T45" s="39">
        <f t="shared" si="3"/>
        <v>0</v>
      </c>
      <c r="U45" s="40"/>
      <c r="V45" s="39">
        <v>0</v>
      </c>
      <c r="W45" s="41"/>
      <c r="X45" s="39">
        <v>0</v>
      </c>
      <c r="Y45" s="41"/>
      <c r="Z45" s="39">
        <v>0</v>
      </c>
      <c r="AA45" s="40"/>
      <c r="AB45" s="39">
        <f t="shared" si="4"/>
        <v>0</v>
      </c>
      <c r="AC45" s="40"/>
      <c r="AD45" s="39">
        <v>0</v>
      </c>
      <c r="AE45" s="41"/>
      <c r="AF45" s="39">
        <f>-4300+2516</f>
        <v>-1784</v>
      </c>
      <c r="AG45" s="41"/>
      <c r="AH45" s="39">
        <v>0</v>
      </c>
      <c r="AI45" s="40"/>
      <c r="AJ45" s="39">
        <f t="shared" si="5"/>
        <v>-1784</v>
      </c>
      <c r="AK45" s="40"/>
      <c r="AL45" s="39"/>
      <c r="AM45" s="41"/>
      <c r="AN45" s="39">
        <f>-300+186</f>
        <v>-114</v>
      </c>
      <c r="AO45" s="41"/>
      <c r="AP45" s="39">
        <v>0</v>
      </c>
      <c r="AQ45" s="40"/>
      <c r="AR45" s="39">
        <f t="shared" si="6"/>
        <v>-1898</v>
      </c>
      <c r="AT45" s="39">
        <v>0</v>
      </c>
      <c r="AU45" s="41"/>
      <c r="AV45" s="39">
        <v>0</v>
      </c>
      <c r="AW45" s="41"/>
      <c r="AX45" s="39">
        <v>0</v>
      </c>
      <c r="AY45" s="40"/>
      <c r="AZ45" s="39">
        <f t="shared" si="7"/>
        <v>-1898</v>
      </c>
      <c r="BB45" s="39">
        <v>0</v>
      </c>
      <c r="BC45" s="41"/>
      <c r="BD45" s="39">
        <v>0</v>
      </c>
      <c r="BE45" s="41"/>
      <c r="BF45" s="39">
        <v>0</v>
      </c>
      <c r="BG45" s="40"/>
      <c r="BH45" s="39">
        <f t="shared" si="8"/>
        <v>-1898</v>
      </c>
    </row>
    <row r="46" spans="1:60" ht="18.75" thickBot="1" x14ac:dyDescent="0.3">
      <c r="A46" s="15" t="s">
        <v>61</v>
      </c>
      <c r="B46" s="46">
        <f>SUM(B19:B44)</f>
        <v>20568.202489999996</v>
      </c>
      <c r="C46" s="40"/>
      <c r="D46" s="46">
        <f>SUM(D19:D44)</f>
        <v>400</v>
      </c>
      <c r="E46" s="40"/>
      <c r="F46" s="46">
        <f>SUM(F19:F44)</f>
        <v>20968.202489999996</v>
      </c>
      <c r="G46" s="40"/>
      <c r="H46" s="46">
        <f>SUM(H19:H44)</f>
        <v>14766</v>
      </c>
      <c r="I46" s="46" t="s">
        <v>0</v>
      </c>
      <c r="J46" s="46">
        <f>SUM(J19:J44)</f>
        <v>35734.202489999996</v>
      </c>
      <c r="K46" s="46" t="s">
        <v>0</v>
      </c>
      <c r="L46" s="46">
        <f>SUM(L19:L44)</f>
        <v>-1308</v>
      </c>
      <c r="M46" s="46" t="s">
        <v>0</v>
      </c>
      <c r="N46" s="46">
        <f>SUM(N19:N44)</f>
        <v>34426.202489999996</v>
      </c>
      <c r="O46" s="46" t="s">
        <v>0</v>
      </c>
      <c r="P46" s="46">
        <f>SUM(P19:P44)</f>
        <v>0</v>
      </c>
      <c r="Q46" s="46" t="s">
        <v>0</v>
      </c>
      <c r="R46" s="46">
        <f>SUM(R19:R44)</f>
        <v>0</v>
      </c>
      <c r="S46" s="46" t="s">
        <v>0</v>
      </c>
      <c r="T46" s="46">
        <f>SUM(T19:T44)</f>
        <v>34426.202489999996</v>
      </c>
      <c r="U46" s="46" t="s">
        <v>0</v>
      </c>
      <c r="V46" s="46">
        <f>SUM(V19:V44)</f>
        <v>1628.3333333333335</v>
      </c>
      <c r="W46" s="46" t="s">
        <v>0</v>
      </c>
      <c r="X46" s="46">
        <f>SUM(X19:X44)</f>
        <v>-4425</v>
      </c>
      <c r="Y46" s="46" t="s">
        <v>0</v>
      </c>
      <c r="Z46" s="46">
        <f>SUM(Z19:Z44)</f>
        <v>2471.6308618333328</v>
      </c>
      <c r="AA46" s="46" t="s">
        <v>0</v>
      </c>
      <c r="AB46" s="46">
        <f>SUM(AB19:AB44)</f>
        <v>34101.166685166681</v>
      </c>
      <c r="AC46" s="46" t="s">
        <v>0</v>
      </c>
      <c r="AD46" s="46">
        <f>SUM(AD19:AD45)</f>
        <v>4344.666666666667</v>
      </c>
      <c r="AE46" s="46" t="s">
        <v>0</v>
      </c>
      <c r="AF46" s="46">
        <f>SUM(AF19:AF45)</f>
        <v>-4712</v>
      </c>
      <c r="AG46" s="46" t="s">
        <v>0</v>
      </c>
      <c r="AH46" s="46">
        <f>SUM(AH19:AH44)</f>
        <v>3374.2494818561036</v>
      </c>
      <c r="AI46" s="46" t="s">
        <v>0</v>
      </c>
      <c r="AJ46" s="46">
        <f>SUM(AJ19:AJ44)</f>
        <v>38892.082833689448</v>
      </c>
      <c r="AK46" s="40"/>
      <c r="AL46" s="46">
        <f>SUM(AL19:AL45)</f>
        <v>0</v>
      </c>
      <c r="AM46" s="46" t="s">
        <v>0</v>
      </c>
      <c r="AN46" s="46">
        <f>SUM(AN19:AN45)</f>
        <v>-2194</v>
      </c>
      <c r="AO46" s="46" t="s">
        <v>0</v>
      </c>
      <c r="AP46" s="46">
        <f>SUM(AP19:AP44)</f>
        <v>3464.4022589385045</v>
      </c>
      <c r="AQ46" s="46" t="s">
        <v>0</v>
      </c>
      <c r="AR46" s="46">
        <f>SUM(AR19:AR44)</f>
        <v>40276.485092627969</v>
      </c>
      <c r="AT46" s="46">
        <f>SUM(AT19:AT45)</f>
        <v>800</v>
      </c>
      <c r="AU46" s="46" t="s">
        <v>0</v>
      </c>
      <c r="AV46" s="46">
        <f>SUM(AV19:AV45)</f>
        <v>-3418</v>
      </c>
      <c r="AW46" s="46" t="s">
        <v>0</v>
      </c>
      <c r="AX46" s="46">
        <f>SUM(AX19:AX44)</f>
        <v>3599.5033340175714</v>
      </c>
      <c r="AY46" s="46" t="s">
        <v>0</v>
      </c>
      <c r="AZ46" s="46">
        <f>SUM(AZ19:AZ44)</f>
        <v>41257.988426645556</v>
      </c>
      <c r="BB46" s="46">
        <f>SUM(BB19:BB45)</f>
        <v>800</v>
      </c>
      <c r="BC46" s="46" t="s">
        <v>0</v>
      </c>
      <c r="BD46" s="46">
        <f>SUM(BD19:BD45)</f>
        <v>-80</v>
      </c>
      <c r="BE46" s="46" t="s">
        <v>0</v>
      </c>
      <c r="BF46" s="46">
        <f>SUM(BF19:BF44)</f>
        <v>3804.2791258890156</v>
      </c>
      <c r="BG46" s="46" t="s">
        <v>0</v>
      </c>
      <c r="BH46" s="46">
        <f>SUM(BH19:BH44)</f>
        <v>45782.267552534569</v>
      </c>
    </row>
    <row r="47" spans="1:60" x14ac:dyDescent="0.25">
      <c r="B47" s="39" t="s">
        <v>0</v>
      </c>
      <c r="C47" s="40"/>
      <c r="D47" s="39" t="s">
        <v>0</v>
      </c>
      <c r="E47" s="40"/>
      <c r="F47" s="39" t="s">
        <v>0</v>
      </c>
      <c r="G47" s="40"/>
      <c r="H47" s="39" t="s">
        <v>0</v>
      </c>
      <c r="I47" s="40"/>
      <c r="J47" s="39" t="s">
        <v>0</v>
      </c>
      <c r="K47" s="40"/>
      <c r="L47" s="39" t="s">
        <v>0</v>
      </c>
      <c r="M47" s="40"/>
      <c r="N47" s="39"/>
      <c r="O47" s="40"/>
      <c r="P47" s="39"/>
      <c r="Q47" s="41"/>
      <c r="R47" s="39"/>
      <c r="S47" s="40"/>
      <c r="T47" s="39"/>
      <c r="U47" s="40"/>
      <c r="V47" s="39">
        <f>SUM('[3]SUMMARY BUDGET MOVES '!AD45:AF45)+SUM('[3]SUMMARY BUDGET MOVES '!AL45:AO45)+'[3]SUMMARY BUDGET MOVES '!AJ45</f>
        <v>0</v>
      </c>
      <c r="W47" s="41"/>
      <c r="X47" s="39"/>
      <c r="Y47" s="41"/>
      <c r="Z47" s="39"/>
      <c r="AA47" s="40"/>
      <c r="AB47" s="39"/>
      <c r="AC47" s="40"/>
      <c r="AD47" s="39"/>
      <c r="AE47" s="41"/>
      <c r="AF47" s="39"/>
      <c r="AG47" s="41"/>
      <c r="AH47" s="39"/>
      <c r="AI47" s="40"/>
      <c r="AJ47" s="39"/>
      <c r="AK47" s="40"/>
      <c r="AL47" s="39"/>
      <c r="AM47" s="41"/>
      <c r="AN47" s="39"/>
      <c r="AO47" s="41"/>
      <c r="AP47" s="39"/>
      <c r="AQ47" s="40"/>
      <c r="AR47" s="39"/>
      <c r="AT47" s="39"/>
      <c r="AU47" s="41"/>
      <c r="AV47" s="39"/>
      <c r="AW47" s="41"/>
      <c r="AX47" s="39"/>
      <c r="AY47" s="40"/>
      <c r="AZ47" s="39"/>
      <c r="BB47" s="39"/>
      <c r="BC47" s="41"/>
      <c r="BD47" s="39"/>
      <c r="BE47" s="41"/>
      <c r="BF47" s="39"/>
      <c r="BG47" s="40"/>
      <c r="BH47" s="39"/>
    </row>
    <row r="48" spans="1:60" ht="18.75" thickBot="1" x14ac:dyDescent="0.3">
      <c r="A48" s="47" t="s">
        <v>62</v>
      </c>
      <c r="B48" s="48">
        <f>B46+B18</f>
        <v>383469.61666974257</v>
      </c>
      <c r="C48" s="40"/>
      <c r="D48" s="48">
        <f>SUM('[3]SUMMARY BUDGET MOVES '!J46)</f>
        <v>-3131</v>
      </c>
      <c r="E48" s="40"/>
      <c r="F48" s="48">
        <f>B48+D48</f>
        <v>380338.61666974257</v>
      </c>
      <c r="G48" s="40"/>
      <c r="H48" s="48">
        <f>SUM('[3]SUMMARY BUDGET MOVES '!L46:N46)</f>
        <v>-956.97178668128254</v>
      </c>
      <c r="I48" s="40"/>
      <c r="J48" s="48">
        <f>F48+H48</f>
        <v>379381.64488306129</v>
      </c>
      <c r="K48" s="40"/>
      <c r="L48" s="48">
        <f>SUM('[3]SUMMARY BUDGET MOVES '!P46)</f>
        <v>-2585</v>
      </c>
      <c r="M48" s="40"/>
      <c r="N48" s="48">
        <f>J48+L48</f>
        <v>376796.64488306129</v>
      </c>
      <c r="O48" s="40"/>
      <c r="P48" s="48">
        <f>SUM('[3]SUMMARY BUDGET MOVES '!T46:Y46)</f>
        <v>0</v>
      </c>
      <c r="Q48" s="41"/>
      <c r="R48" s="48">
        <f>SUM('[3]SUMMARY BUDGET MOVES '!Z46:AB46)</f>
        <v>0</v>
      </c>
      <c r="S48" s="40"/>
      <c r="T48" s="48">
        <f>SUM(N48:R48)</f>
        <v>376796.64488306129</v>
      </c>
      <c r="U48" s="40"/>
      <c r="V48" s="48">
        <f>SUM('[3]SUMMARY BUDGET MOVES '!AD46:AF46)+SUM('[3]SUMMARY BUDGET MOVES '!AL46:AO46)+'[3]SUMMARY BUDGET MOVES '!AJ46</f>
        <v>14273.333333333334</v>
      </c>
      <c r="W48" s="41"/>
      <c r="X48" s="48">
        <f>X46+X18</f>
        <v>-23069.85</v>
      </c>
      <c r="Y48" s="41"/>
      <c r="Z48" s="48">
        <f>'[3]SUMMARY BUDGET MOVES '!AT46+'[3]SUMMARY BUDGET MOVES '!AI46</f>
        <v>6400.9856726941553</v>
      </c>
      <c r="AA48" s="40"/>
      <c r="AB48" s="48">
        <f>SUM(T48:Z48)</f>
        <v>374401.1138890888</v>
      </c>
      <c r="AC48" s="40"/>
      <c r="AD48" s="48">
        <f>AD18+AD46</f>
        <v>16310.666666666668</v>
      </c>
      <c r="AE48" s="41"/>
      <c r="AF48" s="48">
        <f>AF18+AF46</f>
        <v>-24594.618333333332</v>
      </c>
      <c r="AG48" s="41"/>
      <c r="AH48" s="48">
        <f>AH18+AH46</f>
        <v>6414.436358889614</v>
      </c>
      <c r="AI48" s="40"/>
      <c r="AJ48" s="48">
        <f>SUM(AB48:AH48)</f>
        <v>372531.59858131176</v>
      </c>
      <c r="AK48" s="40"/>
      <c r="AL48" s="48">
        <f>AL18+AL46</f>
        <v>5000</v>
      </c>
      <c r="AM48" s="41"/>
      <c r="AN48" s="48">
        <f>AN18+AN46</f>
        <v>-24572.360500000003</v>
      </c>
      <c r="AO48" s="41"/>
      <c r="AP48" s="48">
        <f>AP18+AP46</f>
        <v>6738.495130799357</v>
      </c>
      <c r="AQ48" s="40"/>
      <c r="AR48" s="48">
        <f>SUM(AJ48:AP48)</f>
        <v>359697.73321211111</v>
      </c>
      <c r="AT48" s="48">
        <f>AT18+AT46</f>
        <v>3800</v>
      </c>
      <c r="AU48" s="41"/>
      <c r="AV48" s="48">
        <f>AV18+AV46</f>
        <v>-20620.052100000001</v>
      </c>
      <c r="AW48" s="41"/>
      <c r="AX48" s="48">
        <f>AX18+AX46</f>
        <v>6697.081835862321</v>
      </c>
      <c r="AY48" s="40"/>
      <c r="AZ48" s="48">
        <f>SUM(AR48:AX48)</f>
        <v>349574.76294797339</v>
      </c>
      <c r="BB48" s="48">
        <f>BB18+BB46</f>
        <v>3800</v>
      </c>
      <c r="BC48" s="41"/>
      <c r="BD48" s="48">
        <f>BD18+BD46</f>
        <v>-17380.336487750003</v>
      </c>
      <c r="BE48" s="41"/>
      <c r="BF48" s="48">
        <f>BF18+BF46</f>
        <v>6792.4196103796257</v>
      </c>
      <c r="BG48" s="40"/>
      <c r="BH48" s="48">
        <f>SUM(AZ48:BF48)</f>
        <v>342786.846070603</v>
      </c>
    </row>
    <row r="49" spans="1:60" ht="19.5" hidden="1" thickTop="1" thickBot="1" x14ac:dyDescent="0.3">
      <c r="A49" s="47"/>
      <c r="B49" s="46">
        <f>'[3]SUMMARY BUDGET MOVES '!I47+'[3]SUMMARY BUDGET MOVES '!R47+'[3]SUMMARY BUDGET MOVES '!S47</f>
        <v>0</v>
      </c>
      <c r="C49" s="49"/>
      <c r="D49" s="46">
        <f>SUM('[3]SUMMARY BUDGET MOVES '!J47)</f>
        <v>0</v>
      </c>
      <c r="E49" s="49"/>
      <c r="F49" s="46">
        <f>B49+D49</f>
        <v>0</v>
      </c>
      <c r="G49" s="49"/>
      <c r="H49" s="46">
        <f>SUM('[3]SUMMARY BUDGET MOVES '!L47:N47)</f>
        <v>0</v>
      </c>
      <c r="I49" s="40"/>
      <c r="J49" s="46">
        <f>F49+H49</f>
        <v>0</v>
      </c>
      <c r="K49" s="40"/>
      <c r="L49" s="46">
        <f>SUM('[3]SUMMARY BUDGET MOVES '!P47)</f>
        <v>0</v>
      </c>
      <c r="M49" s="40"/>
      <c r="N49" s="46">
        <f>J49+L49</f>
        <v>0</v>
      </c>
      <c r="O49" s="49"/>
      <c r="P49" s="46">
        <f>SUM('[3]SUMMARY BUDGET MOVES '!T47:Y47)</f>
        <v>0</v>
      </c>
      <c r="Q49" s="49"/>
      <c r="R49" s="46">
        <f>SUM('[3]SUMMARY BUDGET MOVES '!Z47:AB47)</f>
        <v>0</v>
      </c>
      <c r="S49" s="40"/>
      <c r="T49" s="46">
        <f>SUM(N49:R49)</f>
        <v>0</v>
      </c>
      <c r="U49" s="49"/>
      <c r="V49" s="46">
        <f>SUM('[3]SUMMARY BUDGET MOVES '!AD47:AF47)+SUM('[3]SUMMARY BUDGET MOVES '!AL47:AO47)+'[3]SUMMARY BUDGET MOVES '!AJ47</f>
        <v>0</v>
      </c>
      <c r="W49" s="49"/>
      <c r="X49" s="46">
        <f>SUM('[3]SUMMARY BUDGET MOVES '!AP47:AR47)+'[3]SUMMARY BUDGET MOVES '!AJ47+'[3]SUMMARY BUDGET MOVES '!AK47</f>
        <v>0</v>
      </c>
      <c r="Y49" s="49"/>
      <c r="Z49" s="46">
        <f>'[3]SUMMARY BUDGET MOVES '!AT47+'[3]SUMMARY BUDGET MOVES '!AI47</f>
        <v>0</v>
      </c>
      <c r="AA49" s="40"/>
      <c r="AB49" s="46">
        <f>SUM(T49:Z49)</f>
        <v>0</v>
      </c>
      <c r="AC49" s="49"/>
      <c r="AD49" s="46">
        <f>SUM(AD13:AD17)+SUM(AD19:AD44)</f>
        <v>16310.666666666668</v>
      </c>
      <c r="AE49" s="49"/>
      <c r="AF49" s="46"/>
      <c r="AG49" s="49"/>
      <c r="AH49" s="46">
        <f>SUM(AH13:AH17)+SUM(AH19:AH44)</f>
        <v>6414.436358889614</v>
      </c>
      <c r="AI49" s="40"/>
      <c r="AJ49" s="46">
        <f>SUM(AJ13:AJ17)+SUM(AJ19:AJ44)</f>
        <v>374315.59858131182</v>
      </c>
      <c r="AK49" s="40"/>
      <c r="AL49" s="46">
        <f>SUM(AL13:AL17)+SUM(AL19:AL44)</f>
        <v>5000</v>
      </c>
      <c r="AM49" s="49"/>
      <c r="AN49" s="46"/>
      <c r="AO49" s="49"/>
      <c r="AP49" s="46">
        <f>SUM(AP13:AP17)+SUM(AP19:AP44)</f>
        <v>6738.495130799357</v>
      </c>
      <c r="AQ49" s="40"/>
      <c r="AR49" s="46">
        <f>SUM(AR13:AR17)+SUM(AR19:AR44)</f>
        <v>361595.73321211117</v>
      </c>
      <c r="AT49" s="46">
        <f>SUM(AT13:AT17)+SUM(AT19:AT44)</f>
        <v>3800</v>
      </c>
      <c r="AU49" s="49"/>
      <c r="AV49" s="46"/>
      <c r="AW49" s="49"/>
      <c r="AX49" s="46">
        <f>SUM(AX13:AX17)+SUM(AX19:AX44)</f>
        <v>6697.081835862321</v>
      </c>
      <c r="AY49" s="40"/>
      <c r="AZ49" s="46">
        <f>SUM(AZ13:AZ17)+SUM(AZ19:AZ44)</f>
        <v>351472.7629479735</v>
      </c>
      <c r="BB49" s="46">
        <f>SUM(BB13:BB17)+SUM(BB19:BB44)</f>
        <v>3800</v>
      </c>
      <c r="BC49" s="49"/>
      <c r="BD49" s="46"/>
      <c r="BE49" s="49"/>
      <c r="BF49" s="46">
        <f>SUM(BF13:BF17)+SUM(BF19:BF44)</f>
        <v>6792.4196103796257</v>
      </c>
      <c r="BG49" s="40"/>
      <c r="BH49" s="46">
        <f>SUM(BH13:BH17)+SUM(BH19:BH44)</f>
        <v>344684.84607060312</v>
      </c>
    </row>
    <row r="50" spans="1:60" ht="12.75" customHeight="1" thickTop="1" x14ac:dyDescent="0.25">
      <c r="A50" s="47"/>
      <c r="B50" s="40"/>
      <c r="C50" s="49"/>
      <c r="D50" s="40"/>
      <c r="E50" s="49"/>
      <c r="F50" s="40"/>
      <c r="G50" s="49"/>
      <c r="H50" s="40"/>
      <c r="I50" s="40"/>
      <c r="J50" s="40"/>
      <c r="K50" s="40"/>
      <c r="L50" s="40"/>
      <c r="M50" s="40"/>
      <c r="N50" s="40"/>
      <c r="O50" s="49"/>
      <c r="P50" s="40"/>
      <c r="Q50" s="49"/>
      <c r="R50" s="40"/>
      <c r="S50" s="40"/>
      <c r="T50" s="40"/>
      <c r="U50" s="49"/>
      <c r="V50" s="40"/>
      <c r="W50" s="49"/>
      <c r="X50" s="40"/>
      <c r="Y50" s="49"/>
      <c r="Z50" s="40"/>
      <c r="AA50" s="40"/>
      <c r="AB50" s="40"/>
      <c r="AC50" s="49"/>
      <c r="AD50" s="40"/>
      <c r="AE50" s="49"/>
      <c r="AF50" s="40"/>
      <c r="AG50" s="49"/>
      <c r="AH50" s="40"/>
      <c r="AI50" s="40"/>
      <c r="AJ50" s="40"/>
      <c r="AK50" s="40"/>
      <c r="AL50" s="40"/>
      <c r="AM50" s="49"/>
      <c r="AN50" s="40"/>
      <c r="AO50" s="49"/>
      <c r="AP50" s="40"/>
      <c r="AQ50" s="40"/>
      <c r="AR50" s="40"/>
      <c r="AT50" s="40"/>
      <c r="AU50" s="49"/>
      <c r="AV50" s="40"/>
      <c r="AW50" s="49"/>
      <c r="AX50" s="40"/>
      <c r="AY50" s="40"/>
      <c r="AZ50" s="40"/>
      <c r="BB50" s="40"/>
      <c r="BC50" s="49"/>
      <c r="BD50" s="40"/>
      <c r="BE50" s="49"/>
      <c r="BF50" s="40"/>
      <c r="BG50" s="40"/>
      <c r="BH50" s="40"/>
    </row>
    <row r="51" spans="1:60" ht="3.75" customHeight="1" thickBot="1" x14ac:dyDescent="0.3">
      <c r="A51" s="47"/>
      <c r="B51" s="40"/>
      <c r="C51" s="49"/>
      <c r="D51" s="40"/>
      <c r="E51" s="49"/>
      <c r="F51" s="40"/>
      <c r="G51" s="49"/>
      <c r="H51" s="40"/>
      <c r="I51" s="40"/>
      <c r="J51" s="40"/>
      <c r="K51" s="40"/>
      <c r="L51" s="40"/>
      <c r="M51" s="40"/>
      <c r="N51" s="40"/>
      <c r="O51" s="49"/>
      <c r="P51" s="40"/>
      <c r="Q51" s="49"/>
      <c r="R51" s="40"/>
      <c r="S51" s="40"/>
      <c r="T51" s="40"/>
      <c r="U51" s="49"/>
      <c r="V51" s="40">
        <f>SUM('[3]SUMMARY BUDGET MOVES '!AD49:AF49)+SUM('[3]SUMMARY BUDGET MOVES '!AL49:AO49)+'[3]SUMMARY BUDGET MOVES '!AJ49</f>
        <v>0</v>
      </c>
      <c r="W51" s="49"/>
      <c r="X51" s="40"/>
      <c r="Y51" s="49"/>
      <c r="Z51" s="40"/>
      <c r="AA51" s="40"/>
      <c r="AB51" s="40"/>
      <c r="AC51" s="49"/>
      <c r="AD51" s="40"/>
      <c r="AE51" s="49"/>
      <c r="AF51" s="40"/>
      <c r="AG51" s="49"/>
      <c r="AH51" s="40"/>
      <c r="AI51" s="40"/>
      <c r="AJ51" s="40"/>
      <c r="AK51" s="40"/>
      <c r="AL51" s="40"/>
      <c r="AM51" s="49"/>
      <c r="AN51" s="40"/>
      <c r="AO51" s="49"/>
      <c r="AP51" s="40"/>
      <c r="AQ51" s="40"/>
      <c r="AR51" s="40"/>
      <c r="AT51" s="40"/>
      <c r="AU51" s="49"/>
      <c r="AV51" s="40"/>
      <c r="AW51" s="49"/>
      <c r="AX51" s="40"/>
      <c r="AY51" s="40"/>
      <c r="AZ51" s="40"/>
      <c r="BB51" s="40"/>
      <c r="BC51" s="49"/>
      <c r="BD51" s="40"/>
      <c r="BE51" s="49"/>
      <c r="BF51" s="40"/>
      <c r="BG51" s="40"/>
      <c r="BH51" s="40"/>
    </row>
    <row r="52" spans="1:60" ht="18.75" thickBot="1" x14ac:dyDescent="0.3">
      <c r="A52" s="31" t="s">
        <v>63</v>
      </c>
      <c r="B52" s="50"/>
      <c r="C52" s="49"/>
      <c r="D52" s="50"/>
      <c r="E52" s="49"/>
      <c r="F52" s="50"/>
      <c r="G52" s="49"/>
      <c r="H52" s="51"/>
      <c r="I52" s="40"/>
      <c r="J52" s="50"/>
      <c r="K52" s="40"/>
      <c r="L52" s="50"/>
      <c r="M52" s="40"/>
      <c r="N52" s="50"/>
      <c r="O52" s="49"/>
      <c r="P52" s="51"/>
      <c r="Q52" s="49"/>
      <c r="R52" s="50"/>
      <c r="S52" s="40"/>
      <c r="T52" s="50"/>
      <c r="U52" s="49"/>
      <c r="V52" s="51" t="s">
        <v>0</v>
      </c>
      <c r="W52" s="49"/>
      <c r="X52" s="50"/>
      <c r="Y52" s="49"/>
      <c r="Z52" s="51"/>
      <c r="AA52" s="40"/>
      <c r="AB52" s="50"/>
      <c r="AC52" s="49"/>
      <c r="AD52" s="51"/>
      <c r="AE52" s="49"/>
      <c r="AF52" s="50"/>
      <c r="AG52" s="49"/>
      <c r="AH52" s="51"/>
      <c r="AI52" s="40"/>
      <c r="AJ52" s="50"/>
      <c r="AK52" s="40"/>
      <c r="AL52" s="51"/>
      <c r="AM52" s="49"/>
      <c r="AN52" s="50"/>
      <c r="AO52" s="49"/>
      <c r="AP52" s="51"/>
      <c r="AQ52" s="40"/>
      <c r="AR52" s="50"/>
      <c r="AT52" s="51"/>
      <c r="AU52" s="49"/>
      <c r="AV52" s="50"/>
      <c r="AW52" s="49"/>
      <c r="AX52" s="51"/>
      <c r="AY52" s="40"/>
      <c r="AZ52" s="50"/>
      <c r="BB52" s="51"/>
      <c r="BC52" s="49"/>
      <c r="BD52" s="50"/>
      <c r="BE52" s="49"/>
      <c r="BF52" s="51"/>
      <c r="BG52" s="40"/>
      <c r="BH52" s="50"/>
    </row>
    <row r="53" spans="1:60" ht="8.25" customHeight="1" x14ac:dyDescent="0.25">
      <c r="A53" s="35"/>
      <c r="B53" s="52"/>
      <c r="C53" s="49"/>
      <c r="D53" s="52"/>
      <c r="E53" s="49"/>
      <c r="F53" s="52"/>
      <c r="G53" s="49"/>
      <c r="H53" s="53"/>
      <c r="I53" s="40"/>
      <c r="J53" s="52"/>
      <c r="K53" s="40"/>
      <c r="L53" s="52"/>
      <c r="M53" s="40"/>
      <c r="N53" s="52"/>
      <c r="O53" s="49"/>
      <c r="P53" s="53"/>
      <c r="Q53" s="49"/>
      <c r="R53" s="52"/>
      <c r="S53" s="40"/>
      <c r="T53" s="52"/>
      <c r="U53" s="49"/>
      <c r="V53" s="53" t="s">
        <v>0</v>
      </c>
      <c r="W53" s="49"/>
      <c r="X53" s="52"/>
      <c r="Y53" s="49"/>
      <c r="Z53" s="53"/>
      <c r="AA53" s="40"/>
      <c r="AB53" s="52"/>
      <c r="AC53" s="49"/>
      <c r="AD53" s="53"/>
      <c r="AE53" s="49"/>
      <c r="AF53" s="52"/>
      <c r="AG53" s="49"/>
      <c r="AH53" s="53"/>
      <c r="AI53" s="40"/>
      <c r="AJ53" s="52"/>
      <c r="AK53" s="40"/>
      <c r="AL53" s="53"/>
      <c r="AM53" s="49"/>
      <c r="AN53" s="52"/>
      <c r="AO53" s="49"/>
      <c r="AP53" s="53"/>
      <c r="AQ53" s="40"/>
      <c r="AR53" s="52"/>
      <c r="AT53" s="53"/>
      <c r="AU53" s="49"/>
      <c r="AV53" s="52"/>
      <c r="AW53" s="49"/>
      <c r="AX53" s="53"/>
      <c r="AY53" s="40"/>
      <c r="AZ53" s="52"/>
      <c r="BB53" s="53"/>
      <c r="BC53" s="49"/>
      <c r="BD53" s="52"/>
      <c r="BE53" s="49"/>
      <c r="BF53" s="53"/>
      <c r="BG53" s="40"/>
      <c r="BH53" s="52"/>
    </row>
    <row r="54" spans="1:60" x14ac:dyDescent="0.25">
      <c r="A54" s="15" t="s">
        <v>64</v>
      </c>
      <c r="B54" s="39">
        <f>'[3]SUMMARY BUDGET MOVES '!I52+'[3]SUMMARY BUDGET MOVES '!R52+'[3]SUMMARY BUDGET MOVES '!S52</f>
        <v>8694</v>
      </c>
      <c r="C54" s="40"/>
      <c r="D54" s="39">
        <f>SUM('[3]SUMMARY BUDGET MOVES '!J52)</f>
        <v>0</v>
      </c>
      <c r="E54" s="40"/>
      <c r="F54" s="39">
        <f>B54+D54</f>
        <v>8694</v>
      </c>
      <c r="G54" s="40"/>
      <c r="H54" s="39">
        <f>SUM('[3]SUMMARY BUDGET MOVES '!L52:N52)</f>
        <v>0</v>
      </c>
      <c r="I54" s="40"/>
      <c r="J54" s="39">
        <f>F54+H54</f>
        <v>8694</v>
      </c>
      <c r="K54" s="40"/>
      <c r="L54" s="39">
        <f>SUM('[3]SUMMARY BUDGET MOVES '!P52)</f>
        <v>0</v>
      </c>
      <c r="M54" s="40"/>
      <c r="N54" s="39">
        <f>J54+L54</f>
        <v>8694</v>
      </c>
      <c r="O54" s="40"/>
      <c r="P54" s="39">
        <f>SUM('[3]SUMMARY BUDGET MOVES '!T52:Y52)</f>
        <v>0</v>
      </c>
      <c r="Q54" s="41"/>
      <c r="R54" s="39">
        <f>SUM('[3]SUMMARY BUDGET MOVES '!Z52:AB52)</f>
        <v>0</v>
      </c>
      <c r="S54" s="40"/>
      <c r="T54" s="39">
        <f>SUM(N54:R54)</f>
        <v>8694</v>
      </c>
      <c r="U54" s="40"/>
      <c r="V54" s="39">
        <f>SUM('[3]SUMMARY BUDGET MOVES '!AD52:AF52)+SUM('[3]SUMMARY BUDGET MOVES '!AL52:AO52)+'[3]SUMMARY BUDGET MOVES '!AJ52</f>
        <v>-850</v>
      </c>
      <c r="W54" s="41"/>
      <c r="X54" s="39">
        <f>SUM('[3]SUMMARY BUDGET MOVES '!AP52:AR52)+'[3]SUMMARY BUDGET MOVES '!AJ52+'[3]SUMMARY BUDGET MOVES '!AK52</f>
        <v>0</v>
      </c>
      <c r="Y54" s="41"/>
      <c r="Z54" s="39">
        <f>'[3]SUMMARY BUDGET MOVES '!AT52+'[3]SUMMARY BUDGET MOVES '!AI52</f>
        <v>150.63216666666671</v>
      </c>
      <c r="AA54" s="40"/>
      <c r="AB54" s="39">
        <f>SUM(T54:Z54)</f>
        <v>7994.6321666666663</v>
      </c>
      <c r="AC54" s="40"/>
      <c r="AD54" s="39">
        <v>0</v>
      </c>
      <c r="AE54" s="41"/>
      <c r="AF54" s="39">
        <f>SUM('[3]SUMMARY BUDGET MOVES '!BH52:BJ52)+'[3]SUMMARY BUDGET MOVES '!BC52</f>
        <v>0</v>
      </c>
      <c r="AG54" s="41"/>
      <c r="AH54" s="39">
        <f>(AB54+AD54)*3%</f>
        <v>239.83896499999997</v>
      </c>
      <c r="AI54" s="40"/>
      <c r="AJ54" s="39">
        <f>SUM(AB54:AH54)</f>
        <v>8234.4711316666671</v>
      </c>
      <c r="AK54" s="40"/>
      <c r="AL54" s="39">
        <v>0</v>
      </c>
      <c r="AM54" s="41"/>
      <c r="AN54" s="39">
        <f>SUM('[3]SUMMARY BUDGET MOVES '!BU52:BW52)+'[3]SUMMARY BUDGET MOVES '!BP52</f>
        <v>0</v>
      </c>
      <c r="AO54" s="41"/>
      <c r="AP54" s="39">
        <f>(AJ54+AL54)*3%</f>
        <v>247.03413395000001</v>
      </c>
      <c r="AQ54" s="40"/>
      <c r="AR54" s="39">
        <f>SUM(AJ54:AP54)</f>
        <v>8481.5052656166663</v>
      </c>
      <c r="AT54" s="39">
        <v>0</v>
      </c>
      <c r="AU54" s="41"/>
      <c r="AV54" s="39">
        <f>SUM('[3]SUMMARY BUDGET MOVES '!CC52:CE52)+'[3]SUMMARY BUDGET MOVES '!BX52</f>
        <v>0</v>
      </c>
      <c r="AW54" s="41"/>
      <c r="AX54" s="39">
        <f>(AR54+AT54)*3%</f>
        <v>254.44515796849998</v>
      </c>
      <c r="AY54" s="40"/>
      <c r="AZ54" s="39">
        <f>SUM(AR54:AX54)</f>
        <v>8735.9504235851655</v>
      </c>
      <c r="BB54" s="39">
        <v>0</v>
      </c>
      <c r="BC54" s="41"/>
      <c r="BD54" s="39">
        <f>SUM('[3]SUMMARY BUDGET MOVES '!CK52:CM52)+'[3]SUMMARY BUDGET MOVES '!CF52</f>
        <v>0</v>
      </c>
      <c r="BE54" s="41"/>
      <c r="BF54" s="39">
        <f>(AZ54+BB54)*3%</f>
        <v>262.07851270755498</v>
      </c>
      <c r="BG54" s="40"/>
      <c r="BH54" s="39">
        <f>SUM(AZ54:BF54)</f>
        <v>8998.0289362927197</v>
      </c>
    </row>
    <row r="55" spans="1:60" ht="10.5" customHeight="1" x14ac:dyDescent="0.25">
      <c r="A55" s="15" t="s">
        <v>0</v>
      </c>
      <c r="B55" s="39"/>
      <c r="C55" s="40"/>
      <c r="D55" s="39"/>
      <c r="E55" s="40"/>
      <c r="F55" s="39"/>
      <c r="G55" s="40"/>
      <c r="H55" s="39"/>
      <c r="I55" s="40"/>
      <c r="J55" s="39"/>
      <c r="K55" s="40"/>
      <c r="L55" s="39"/>
      <c r="M55" s="40"/>
      <c r="N55" s="39"/>
      <c r="O55" s="40"/>
      <c r="P55" s="39"/>
      <c r="Q55" s="41"/>
      <c r="R55" s="39"/>
      <c r="S55" s="40"/>
      <c r="T55" s="39"/>
      <c r="U55" s="40"/>
      <c r="V55" s="39" t="s">
        <v>0</v>
      </c>
      <c r="W55" s="41"/>
      <c r="X55" s="39" t="s">
        <v>0</v>
      </c>
      <c r="Y55" s="41"/>
      <c r="Z55" s="39"/>
      <c r="AA55" s="40"/>
      <c r="AB55" s="39"/>
      <c r="AC55" s="40"/>
      <c r="AD55" s="39"/>
      <c r="AE55" s="41"/>
      <c r="AF55" s="39"/>
      <c r="AG55" s="41"/>
      <c r="AH55" s="39"/>
      <c r="AI55" s="40"/>
      <c r="AJ55" s="39"/>
      <c r="AK55" s="40"/>
      <c r="AL55" s="39"/>
      <c r="AM55" s="41"/>
      <c r="AN55" s="39"/>
      <c r="AO55" s="41"/>
      <c r="AP55" s="39"/>
      <c r="AQ55" s="40"/>
      <c r="AR55" s="39"/>
      <c r="AT55" s="39"/>
      <c r="AU55" s="41"/>
      <c r="AV55" s="39"/>
      <c r="AW55" s="41"/>
      <c r="AX55" s="39"/>
      <c r="AY55" s="40"/>
      <c r="AZ55" s="39"/>
      <c r="BB55" s="39"/>
      <c r="BC55" s="41"/>
      <c r="BD55" s="39"/>
      <c r="BE55" s="41"/>
      <c r="BF55" s="39"/>
      <c r="BG55" s="40"/>
      <c r="BH55" s="39"/>
    </row>
    <row r="56" spans="1:60" x14ac:dyDescent="0.25">
      <c r="A56" s="15" t="s">
        <v>65</v>
      </c>
      <c r="B56" s="39"/>
      <c r="C56" s="40"/>
      <c r="D56" s="39"/>
      <c r="E56" s="40"/>
      <c r="F56" s="39"/>
      <c r="G56" s="40"/>
      <c r="H56" s="39"/>
      <c r="I56" s="40"/>
      <c r="J56" s="39"/>
      <c r="K56" s="40"/>
      <c r="L56" s="39"/>
      <c r="M56" s="40"/>
      <c r="N56" s="39"/>
      <c r="O56" s="40"/>
      <c r="P56" s="39"/>
      <c r="Q56" s="41"/>
      <c r="R56" s="39"/>
      <c r="S56" s="40"/>
      <c r="T56" s="39"/>
      <c r="U56" s="40"/>
      <c r="V56" s="39">
        <f>SUM('[3]SUMMARY BUDGET MOVES '!AD54:AF54)+SUM('[3]SUMMARY BUDGET MOVES '!AL54:AO54)+'[3]SUMMARY BUDGET MOVES '!AJ54</f>
        <v>0</v>
      </c>
      <c r="W56" s="41"/>
      <c r="X56" s="39">
        <f>SUM('[3]SUMMARY BUDGET MOVES '!AP54:AR54)+'[3]SUMMARY BUDGET MOVES '!AJ54+'[3]SUMMARY BUDGET MOVES '!AK54</f>
        <v>0</v>
      </c>
      <c r="Y56" s="41"/>
      <c r="Z56" s="39"/>
      <c r="AA56" s="40"/>
      <c r="AB56" s="39"/>
      <c r="AC56" s="40"/>
      <c r="AD56" s="39"/>
      <c r="AE56" s="41"/>
      <c r="AF56" s="39"/>
      <c r="AG56" s="41"/>
      <c r="AH56" s="39"/>
      <c r="AI56" s="40"/>
      <c r="AJ56" s="39"/>
      <c r="AK56" s="40"/>
      <c r="AL56" s="39"/>
      <c r="AM56" s="41"/>
      <c r="AN56" s="39"/>
      <c r="AO56" s="41"/>
      <c r="AP56" s="39"/>
      <c r="AQ56" s="40"/>
      <c r="AR56" s="39"/>
      <c r="AT56" s="39"/>
      <c r="AU56" s="41"/>
      <c r="AV56" s="39"/>
      <c r="AW56" s="41"/>
      <c r="AX56" s="39"/>
      <c r="AY56" s="40"/>
      <c r="AZ56" s="39"/>
      <c r="BB56" s="39"/>
      <c r="BC56" s="41"/>
      <c r="BD56" s="39"/>
      <c r="BE56" s="41"/>
      <c r="BF56" s="39"/>
      <c r="BG56" s="40"/>
      <c r="BH56" s="39"/>
    </row>
    <row r="57" spans="1:60" x14ac:dyDescent="0.25">
      <c r="A57" s="15" t="s">
        <v>66</v>
      </c>
      <c r="B57" s="39">
        <f>'[3]SUMMARY BUDGET MOVES '!I55+'[3]SUMMARY BUDGET MOVES '!R55+'[3]SUMMARY BUDGET MOVES '!S55</f>
        <v>8647</v>
      </c>
      <c r="C57" s="40"/>
      <c r="D57" s="39">
        <f>SUM('[3]SUMMARY BUDGET MOVES '!J55)</f>
        <v>-44</v>
      </c>
      <c r="E57" s="40"/>
      <c r="F57" s="39">
        <f t="shared" ref="F57:F67" si="13">B57+D57</f>
        <v>8603</v>
      </c>
      <c r="G57" s="40"/>
      <c r="H57" s="39">
        <f>SUM('[3]SUMMARY BUDGET MOVES '!L55:N55)</f>
        <v>0</v>
      </c>
      <c r="I57" s="40"/>
      <c r="J57" s="39">
        <f t="shared" ref="J57:J67" si="14">F57+H57</f>
        <v>8603</v>
      </c>
      <c r="K57" s="40"/>
      <c r="L57" s="39">
        <f>SUM('[3]SUMMARY BUDGET MOVES '!P55)</f>
        <v>0</v>
      </c>
      <c r="M57" s="40"/>
      <c r="N57" s="39">
        <f t="shared" ref="N57:N67" si="15">J57+L57</f>
        <v>8603</v>
      </c>
      <c r="O57" s="40"/>
      <c r="P57" s="39">
        <f>SUM('[3]SUMMARY BUDGET MOVES '!T55:Y55)</f>
        <v>0</v>
      </c>
      <c r="Q57" s="41"/>
      <c r="R57" s="39">
        <f>SUM('[3]SUMMARY BUDGET MOVES '!Z55:AB55)</f>
        <v>0</v>
      </c>
      <c r="S57" s="40"/>
      <c r="T57" s="39">
        <f t="shared" ref="T57:T67" si="16">SUM(N57:R57)</f>
        <v>8603</v>
      </c>
      <c r="U57" s="40"/>
      <c r="V57" s="39">
        <f>SUM('[3]SUMMARY BUDGET MOVES '!AD55:AF55)+SUM('[3]SUMMARY BUDGET MOVES '!AL55:AO55)+'[3]SUMMARY BUDGET MOVES '!AJ55</f>
        <v>0</v>
      </c>
      <c r="W57" s="41"/>
      <c r="X57" s="39">
        <f>SUM('[3]SUMMARY BUDGET MOVES '!AP55:AR55)+'[3]SUMMARY BUDGET MOVES '!AJ55+'[3]SUMMARY BUDGET MOVES '!AK55</f>
        <v>-710</v>
      </c>
      <c r="Y57" s="41"/>
      <c r="Z57" s="39">
        <f>'[3]SUMMARY BUDGET MOVES '!AT55+'[3]SUMMARY BUDGET MOVES '!AI55</f>
        <v>0</v>
      </c>
      <c r="AA57" s="40"/>
      <c r="AB57" s="39">
        <f t="shared" ref="AB57:AB67" si="17">SUM(T57:Z57)</f>
        <v>7893</v>
      </c>
      <c r="AC57" s="40"/>
      <c r="AD57" s="39">
        <v>0</v>
      </c>
      <c r="AE57" s="41"/>
      <c r="AF57" s="39">
        <f>-'[3]Non Pay for People Forecast'!G517</f>
        <v>-374</v>
      </c>
      <c r="AG57" s="41"/>
      <c r="AH57" s="39">
        <v>0</v>
      </c>
      <c r="AI57" s="40"/>
      <c r="AJ57" s="39">
        <f t="shared" ref="AJ57:AJ67" si="18">SUM(AB57:AH57)</f>
        <v>7519</v>
      </c>
      <c r="AK57" s="40"/>
      <c r="AL57" s="39">
        <v>0</v>
      </c>
      <c r="AM57" s="41"/>
      <c r="AN57" s="39">
        <f>-'[3]Non Pay for People Forecast'!H517</f>
        <v>-169</v>
      </c>
      <c r="AO57" s="41"/>
      <c r="AP57" s="39">
        <v>0</v>
      </c>
      <c r="AQ57" s="40"/>
      <c r="AR57" s="39">
        <f t="shared" ref="AR57:AR67" si="19">SUM(AJ57:AP57)</f>
        <v>7350</v>
      </c>
      <c r="AT57" s="39">
        <v>0</v>
      </c>
      <c r="AU57" s="41"/>
      <c r="AV57" s="39">
        <f>-'[3]Non Pay for People Forecast'!I517</f>
        <v>-178</v>
      </c>
      <c r="AW57" s="41"/>
      <c r="AX57" s="39">
        <v>0</v>
      </c>
      <c r="AY57" s="40"/>
      <c r="AZ57" s="39">
        <f t="shared" ref="AZ57:AZ67" si="20">SUM(AR57:AX57)</f>
        <v>7172</v>
      </c>
      <c r="BB57" s="39">
        <v>0</v>
      </c>
      <c r="BC57" s="41"/>
      <c r="BD57" s="39">
        <v>0</v>
      </c>
      <c r="BE57" s="41"/>
      <c r="BF57" s="39">
        <v>0</v>
      </c>
      <c r="BG57" s="40"/>
      <c r="BH57" s="39">
        <f t="shared" ref="BH57:BH67" si="21">SUM(AZ57:BF57)</f>
        <v>7172</v>
      </c>
    </row>
    <row r="58" spans="1:60" ht="18.75" customHeight="1" x14ac:dyDescent="0.25">
      <c r="A58" s="54" t="s">
        <v>67</v>
      </c>
      <c r="B58" s="39">
        <f>'[3]SUMMARY BUDGET MOVES '!I56+'[3]SUMMARY BUDGET MOVES '!R56+'[3]SUMMARY BUDGET MOVES '!S56</f>
        <v>500</v>
      </c>
      <c r="C58" s="40"/>
      <c r="D58" s="39">
        <f>SUM('[3]SUMMARY BUDGET MOVES '!J56)</f>
        <v>0</v>
      </c>
      <c r="E58" s="40"/>
      <c r="F58" s="39">
        <f t="shared" si="13"/>
        <v>500</v>
      </c>
      <c r="G58" s="40"/>
      <c r="H58" s="39">
        <f>SUM('[3]SUMMARY BUDGET MOVES '!L56:N56)</f>
        <v>0</v>
      </c>
      <c r="I58" s="40"/>
      <c r="J58" s="39">
        <f t="shared" si="14"/>
        <v>500</v>
      </c>
      <c r="K58" s="40"/>
      <c r="L58" s="39">
        <f>SUM('[3]SUMMARY BUDGET MOVES '!P56)</f>
        <v>0</v>
      </c>
      <c r="M58" s="40"/>
      <c r="N58" s="39">
        <f t="shared" si="15"/>
        <v>500</v>
      </c>
      <c r="O58" s="40"/>
      <c r="P58" s="39">
        <f>SUM('[3]SUMMARY BUDGET MOVES '!T56:Y56)</f>
        <v>0</v>
      </c>
      <c r="Q58" s="41"/>
      <c r="R58" s="39">
        <f>SUM('[3]SUMMARY BUDGET MOVES '!Z56:AB56)</f>
        <v>0</v>
      </c>
      <c r="S58" s="40"/>
      <c r="T58" s="39">
        <f t="shared" si="16"/>
        <v>500</v>
      </c>
      <c r="U58" s="40"/>
      <c r="V58" s="39">
        <f>SUM('[3]SUMMARY BUDGET MOVES '!AD56:AF56)+SUM('[3]SUMMARY BUDGET MOVES '!AL56:AO56)+'[3]SUMMARY BUDGET MOVES '!AJ56</f>
        <v>679</v>
      </c>
      <c r="W58" s="41"/>
      <c r="X58" s="39">
        <f>SUM('[3]SUMMARY BUDGET MOVES '!AP56:AR56)+'[3]SUMMARY BUDGET MOVES '!AJ56+'[3]SUMMARY BUDGET MOVES '!AK56</f>
        <v>0</v>
      </c>
      <c r="Y58" s="41"/>
      <c r="Z58" s="39">
        <f>'[3]SUMMARY BUDGET MOVES '!AT56+'[3]SUMMARY BUDGET MOVES '!AI56</f>
        <v>0</v>
      </c>
      <c r="AA58" s="40"/>
      <c r="AB58" s="39">
        <f t="shared" si="17"/>
        <v>1179</v>
      </c>
      <c r="AC58" s="40"/>
      <c r="AD58" s="39">
        <v>-689</v>
      </c>
      <c r="AE58" s="41"/>
      <c r="AF58" s="39">
        <v>0</v>
      </c>
      <c r="AG58" s="41"/>
      <c r="AH58" s="39">
        <v>0</v>
      </c>
      <c r="AI58" s="40"/>
      <c r="AJ58" s="39">
        <f t="shared" si="18"/>
        <v>490</v>
      </c>
      <c r="AK58" s="40"/>
      <c r="AL58" s="39">
        <v>0</v>
      </c>
      <c r="AM58" s="41"/>
      <c r="AN58" s="39">
        <v>0</v>
      </c>
      <c r="AO58" s="41"/>
      <c r="AP58" s="39">
        <v>0</v>
      </c>
      <c r="AQ58" s="40"/>
      <c r="AR58" s="39">
        <f t="shared" si="19"/>
        <v>490</v>
      </c>
      <c r="AT58" s="39">
        <v>0</v>
      </c>
      <c r="AU58" s="41"/>
      <c r="AV58" s="39">
        <v>0</v>
      </c>
      <c r="AW58" s="41"/>
      <c r="AX58" s="39">
        <v>0</v>
      </c>
      <c r="AY58" s="40"/>
      <c r="AZ58" s="39">
        <f t="shared" si="20"/>
        <v>490</v>
      </c>
      <c r="BB58" s="39">
        <v>0</v>
      </c>
      <c r="BC58" s="41"/>
      <c r="BD58" s="39">
        <v>0</v>
      </c>
      <c r="BE58" s="41"/>
      <c r="BF58" s="39">
        <v>0</v>
      </c>
      <c r="BG58" s="40"/>
      <c r="BH58" s="39">
        <f t="shared" si="21"/>
        <v>490</v>
      </c>
    </row>
    <row r="59" spans="1:60" ht="18" customHeight="1" x14ac:dyDescent="0.25">
      <c r="A59" s="15" t="s">
        <v>68</v>
      </c>
      <c r="B59" s="39">
        <f>'[3]SUMMARY BUDGET MOVES '!I57+'[3]SUMMARY BUDGET MOVES '!R57+'[3]SUMMARY BUDGET MOVES '!S57</f>
        <v>208</v>
      </c>
      <c r="C59" s="40"/>
      <c r="D59" s="39">
        <f>SUM('[3]SUMMARY BUDGET MOVES '!J57)</f>
        <v>0</v>
      </c>
      <c r="E59" s="40"/>
      <c r="F59" s="39">
        <f t="shared" si="13"/>
        <v>208</v>
      </c>
      <c r="G59" s="40"/>
      <c r="H59" s="39">
        <f>SUM('[3]SUMMARY BUDGET MOVES '!L57:N57)</f>
        <v>0</v>
      </c>
      <c r="I59" s="40"/>
      <c r="J59" s="39">
        <f t="shared" si="14"/>
        <v>208</v>
      </c>
      <c r="K59" s="40"/>
      <c r="L59" s="39">
        <f>SUM('[3]SUMMARY BUDGET MOVES '!P57)</f>
        <v>0</v>
      </c>
      <c r="M59" s="40"/>
      <c r="N59" s="39">
        <f t="shared" si="15"/>
        <v>208</v>
      </c>
      <c r="O59" s="40"/>
      <c r="P59" s="39">
        <f>SUM('[3]SUMMARY BUDGET MOVES '!T57:Y57)</f>
        <v>0</v>
      </c>
      <c r="Q59" s="41"/>
      <c r="R59" s="39">
        <f>SUM('[3]SUMMARY BUDGET MOVES '!Z57:AB57)</f>
        <v>0</v>
      </c>
      <c r="S59" s="40"/>
      <c r="T59" s="39">
        <f t="shared" si="16"/>
        <v>208</v>
      </c>
      <c r="U59" s="40"/>
      <c r="V59" s="39">
        <f>SUM('[3]SUMMARY BUDGET MOVES '!AD57:AF57)+SUM('[3]SUMMARY BUDGET MOVES '!AL57:AO57)+'[3]SUMMARY BUDGET MOVES '!AJ57</f>
        <v>0</v>
      </c>
      <c r="W59" s="41"/>
      <c r="X59" s="39">
        <f>SUM('[3]SUMMARY BUDGET MOVES '!AP57:AR57)+'[3]SUMMARY BUDGET MOVES '!AJ57+'[3]SUMMARY BUDGET MOVES '!AK57</f>
        <v>0</v>
      </c>
      <c r="Y59" s="41"/>
      <c r="Z59" s="39">
        <f>'[3]SUMMARY BUDGET MOVES '!AT57+'[3]SUMMARY BUDGET MOVES '!AI57</f>
        <v>4.16</v>
      </c>
      <c r="AA59" s="40"/>
      <c r="AB59" s="39">
        <f t="shared" si="17"/>
        <v>212.16</v>
      </c>
      <c r="AC59" s="40"/>
      <c r="AD59" s="39">
        <v>0</v>
      </c>
      <c r="AE59" s="41"/>
      <c r="AF59" s="39">
        <f>SUM('[3]SUMMARY BUDGET MOVES '!BH57:BJ57)+'[3]SUMMARY BUDGET MOVES '!BC57</f>
        <v>0</v>
      </c>
      <c r="AG59" s="41"/>
      <c r="AH59" s="39">
        <f>(AB59+AD59)*2.5%</f>
        <v>5.3040000000000003</v>
      </c>
      <c r="AI59" s="40"/>
      <c r="AJ59" s="39">
        <f t="shared" si="18"/>
        <v>217.464</v>
      </c>
      <c r="AK59" s="40"/>
      <c r="AL59" s="39">
        <v>0</v>
      </c>
      <c r="AM59" s="41"/>
      <c r="AN59" s="39">
        <f>SUM('[3]SUMMARY BUDGET MOVES '!BU57:BW57)+'[3]SUMMARY BUDGET MOVES '!BP57</f>
        <v>0</v>
      </c>
      <c r="AO59" s="41"/>
      <c r="AP59" s="39">
        <f>(AJ59+AL59)*2.5%</f>
        <v>5.4366000000000003</v>
      </c>
      <c r="AQ59" s="40"/>
      <c r="AR59" s="39">
        <f t="shared" si="19"/>
        <v>222.9006</v>
      </c>
      <c r="AT59" s="39">
        <v>0</v>
      </c>
      <c r="AU59" s="41"/>
      <c r="AV59" s="39">
        <f>SUM('[3]SUMMARY BUDGET MOVES '!CC57:CE57)+'[3]SUMMARY BUDGET MOVES '!BX57</f>
        <v>0</v>
      </c>
      <c r="AW59" s="41"/>
      <c r="AX59" s="39">
        <f>(AR59+AT59)*2.5%</f>
        <v>5.5725150000000001</v>
      </c>
      <c r="AY59" s="40"/>
      <c r="AZ59" s="39">
        <f t="shared" si="20"/>
        <v>228.47311500000001</v>
      </c>
      <c r="BB59" s="39">
        <v>0</v>
      </c>
      <c r="BC59" s="41"/>
      <c r="BD59" s="39">
        <f>SUM('[3]SUMMARY BUDGET MOVES '!CK57:CM57)+'[3]SUMMARY BUDGET MOVES '!CF57</f>
        <v>0</v>
      </c>
      <c r="BE59" s="41"/>
      <c r="BF59" s="39">
        <f>(AZ59+BB59)*2.5%</f>
        <v>5.7118278750000009</v>
      </c>
      <c r="BG59" s="40"/>
      <c r="BH59" s="39">
        <f t="shared" si="21"/>
        <v>234.18494287500002</v>
      </c>
    </row>
    <row r="60" spans="1:60" ht="18" customHeight="1" x14ac:dyDescent="0.25">
      <c r="A60" s="15" t="s">
        <v>69</v>
      </c>
      <c r="B60" s="39">
        <f>'[3]SUMMARY BUDGET MOVES '!I58+'[3]SUMMARY BUDGET MOVES '!R58+'[3]SUMMARY BUDGET MOVES '!S58</f>
        <v>1765</v>
      </c>
      <c r="C60" s="40"/>
      <c r="D60" s="39">
        <f>SUM('[3]SUMMARY BUDGET MOVES '!J58)</f>
        <v>0</v>
      </c>
      <c r="E60" s="40"/>
      <c r="F60" s="39">
        <f t="shared" si="13"/>
        <v>1765</v>
      </c>
      <c r="G60" s="40"/>
      <c r="H60" s="39">
        <f>SUM('[3]SUMMARY BUDGET MOVES '!L58:N58)</f>
        <v>0</v>
      </c>
      <c r="I60" s="40"/>
      <c r="J60" s="39">
        <f t="shared" si="14"/>
        <v>1765</v>
      </c>
      <c r="K60" s="40"/>
      <c r="L60" s="39">
        <f>SUM('[3]SUMMARY BUDGET MOVES '!P58)</f>
        <v>0</v>
      </c>
      <c r="M60" s="40"/>
      <c r="N60" s="39">
        <f t="shared" si="15"/>
        <v>1765</v>
      </c>
      <c r="O60" s="40"/>
      <c r="P60" s="39">
        <f>SUM('[3]SUMMARY BUDGET MOVES '!T58:Y58)</f>
        <v>0</v>
      </c>
      <c r="Q60" s="41"/>
      <c r="R60" s="39">
        <f>SUM('[3]SUMMARY BUDGET MOVES '!Z58:AB58)</f>
        <v>0</v>
      </c>
      <c r="S60" s="40"/>
      <c r="T60" s="39">
        <f t="shared" si="16"/>
        <v>1765</v>
      </c>
      <c r="U60" s="40"/>
      <c r="V60" s="39">
        <f>SUM('[3]SUMMARY BUDGET MOVES '!AD58:AF58)+SUM('[3]SUMMARY BUDGET MOVES '!AL58:AO58)+'[3]SUMMARY BUDGET MOVES '!AJ58</f>
        <v>0</v>
      </c>
      <c r="W60" s="41"/>
      <c r="X60" s="39">
        <f>SUM('[3]SUMMARY BUDGET MOVES '!AP58:AR58)+'[3]SUMMARY BUDGET MOVES '!AJ58+'[3]SUMMARY BUDGET MOVES '!AK58</f>
        <v>0</v>
      </c>
      <c r="Y60" s="41"/>
      <c r="Z60" s="39">
        <f>'[3]SUMMARY BUDGET MOVES '!AT58+'[3]SUMMARY BUDGET MOVES '!AI58</f>
        <v>76.309999999999988</v>
      </c>
      <c r="AA60" s="40"/>
      <c r="AB60" s="39">
        <f t="shared" si="17"/>
        <v>1841.31</v>
      </c>
      <c r="AC60" s="40"/>
      <c r="AD60" s="39">
        <v>0</v>
      </c>
      <c r="AE60" s="41"/>
      <c r="AF60" s="39">
        <f>SUM('[3]SUMMARY BUDGET MOVES '!BH58:BJ58)+'[3]SUMMARY BUDGET MOVES '!BC58</f>
        <v>0</v>
      </c>
      <c r="AG60" s="41"/>
      <c r="AH60" s="39">
        <f>(AB60+AD60)*5%</f>
        <v>92.0655</v>
      </c>
      <c r="AI60" s="40"/>
      <c r="AJ60" s="39">
        <f t="shared" si="18"/>
        <v>1933.3754999999999</v>
      </c>
      <c r="AK60" s="40"/>
      <c r="AL60" s="39">
        <v>0</v>
      </c>
      <c r="AM60" s="41"/>
      <c r="AN60" s="39">
        <f>SUM('[3]SUMMARY BUDGET MOVES '!BU58:BW58)+'[3]SUMMARY BUDGET MOVES '!BP58</f>
        <v>0</v>
      </c>
      <c r="AO60" s="41"/>
      <c r="AP60" s="39">
        <f>(AJ60+AL60)*5%</f>
        <v>96.668774999999997</v>
      </c>
      <c r="AQ60" s="40"/>
      <c r="AR60" s="39">
        <f t="shared" si="19"/>
        <v>2030.044275</v>
      </c>
      <c r="AT60" s="39">
        <v>0</v>
      </c>
      <c r="AU60" s="41"/>
      <c r="AV60" s="39">
        <f>SUM('[3]SUMMARY BUDGET MOVES '!CC58:CE58)+'[3]SUMMARY BUDGET MOVES '!BX58</f>
        <v>0</v>
      </c>
      <c r="AW60" s="41"/>
      <c r="AX60" s="39">
        <f>(AR60+AT60)*5%</f>
        <v>101.50221375000001</v>
      </c>
      <c r="AY60" s="40"/>
      <c r="AZ60" s="39">
        <f t="shared" si="20"/>
        <v>2131.5464887500002</v>
      </c>
      <c r="BB60" s="39">
        <v>0</v>
      </c>
      <c r="BC60" s="41"/>
      <c r="BD60" s="39">
        <f>SUM('[3]SUMMARY BUDGET MOVES '!CK58:CM58)+'[3]SUMMARY BUDGET MOVES '!CF58</f>
        <v>0</v>
      </c>
      <c r="BE60" s="41"/>
      <c r="BF60" s="39">
        <f>(AZ60+BB60)*5%</f>
        <v>106.57732443750001</v>
      </c>
      <c r="BG60" s="40"/>
      <c r="BH60" s="39">
        <f t="shared" si="21"/>
        <v>2238.1238131875002</v>
      </c>
    </row>
    <row r="61" spans="1:60" ht="18" customHeight="1" x14ac:dyDescent="0.25">
      <c r="A61" s="15" t="s">
        <v>70</v>
      </c>
      <c r="B61" s="39">
        <f>'[3]SUMMARY BUDGET MOVES '!I59+'[3]SUMMARY BUDGET MOVES '!R59+'[3]SUMMARY BUDGET MOVES '!S59</f>
        <v>138</v>
      </c>
      <c r="C61" s="40"/>
      <c r="D61" s="39">
        <f>SUM('[3]SUMMARY BUDGET MOVES '!J59)</f>
        <v>0</v>
      </c>
      <c r="E61" s="40"/>
      <c r="F61" s="39">
        <f t="shared" si="13"/>
        <v>138</v>
      </c>
      <c r="G61" s="40"/>
      <c r="H61" s="39">
        <f>SUM('[3]SUMMARY BUDGET MOVES '!L59:N59)</f>
        <v>0</v>
      </c>
      <c r="I61" s="40"/>
      <c r="J61" s="39">
        <f t="shared" si="14"/>
        <v>138</v>
      </c>
      <c r="K61" s="40"/>
      <c r="L61" s="39">
        <f>SUM('[3]SUMMARY BUDGET MOVES '!P59)</f>
        <v>0</v>
      </c>
      <c r="M61" s="40"/>
      <c r="N61" s="39">
        <f t="shared" si="15"/>
        <v>138</v>
      </c>
      <c r="O61" s="40"/>
      <c r="P61" s="39">
        <f>SUM('[3]SUMMARY BUDGET MOVES '!T59:Y59)</f>
        <v>0</v>
      </c>
      <c r="Q61" s="41"/>
      <c r="R61" s="39">
        <f>SUM('[3]SUMMARY BUDGET MOVES '!Z59:AB59)</f>
        <v>0</v>
      </c>
      <c r="S61" s="40"/>
      <c r="T61" s="39">
        <f t="shared" si="16"/>
        <v>138</v>
      </c>
      <c r="U61" s="40"/>
      <c r="V61" s="39">
        <f>SUM('[3]SUMMARY BUDGET MOVES '!AD59:AF59)+SUM('[3]SUMMARY BUDGET MOVES '!AL59:AO59)+'[3]SUMMARY BUDGET MOVES '!AJ59</f>
        <v>0</v>
      </c>
      <c r="W61" s="41"/>
      <c r="X61" s="39">
        <f>SUM('[3]SUMMARY BUDGET MOVES '!AP59:AR59)+'[3]SUMMARY BUDGET MOVES '!AJ59+'[3]SUMMARY BUDGET MOVES '!AK59</f>
        <v>0</v>
      </c>
      <c r="Y61" s="41"/>
      <c r="Z61" s="39">
        <f>'[3]SUMMARY BUDGET MOVES '!AT59+'[3]SUMMARY BUDGET MOVES '!AI59</f>
        <v>2.7600000000000002</v>
      </c>
      <c r="AA61" s="40"/>
      <c r="AB61" s="39">
        <f t="shared" si="17"/>
        <v>140.76</v>
      </c>
      <c r="AC61" s="40"/>
      <c r="AD61" s="39">
        <v>0</v>
      </c>
      <c r="AE61" s="41"/>
      <c r="AF61" s="39">
        <f>SUM('[3]SUMMARY BUDGET MOVES '!BH59:BJ59)+'[3]SUMMARY BUDGET MOVES '!BC59</f>
        <v>0</v>
      </c>
      <c r="AG61" s="41"/>
      <c r="AH61" s="39">
        <f>(AB61+AD61)*2%</f>
        <v>2.8151999999999999</v>
      </c>
      <c r="AI61" s="40"/>
      <c r="AJ61" s="39">
        <f t="shared" si="18"/>
        <v>143.5752</v>
      </c>
      <c r="AK61" s="40"/>
      <c r="AL61" s="39">
        <v>0</v>
      </c>
      <c r="AM61" s="41"/>
      <c r="AN61" s="39">
        <f>SUM('[3]SUMMARY BUDGET MOVES '!BU59:BW59)+'[3]SUMMARY BUDGET MOVES '!BP59</f>
        <v>0</v>
      </c>
      <c r="AO61" s="41"/>
      <c r="AP61" s="39">
        <f>(AJ61+AL61)*2%</f>
        <v>2.8715039999999998</v>
      </c>
      <c r="AQ61" s="40"/>
      <c r="AR61" s="39">
        <f t="shared" si="19"/>
        <v>146.44670399999998</v>
      </c>
      <c r="AT61" s="39">
        <v>0</v>
      </c>
      <c r="AU61" s="41"/>
      <c r="AV61" s="39">
        <f>SUM('[3]SUMMARY BUDGET MOVES '!CC59:CE59)+'[3]SUMMARY BUDGET MOVES '!BX59</f>
        <v>0</v>
      </c>
      <c r="AW61" s="41"/>
      <c r="AX61" s="39">
        <f>(AR61+AT61)*2%</f>
        <v>2.9289340799999999</v>
      </c>
      <c r="AY61" s="40"/>
      <c r="AZ61" s="39">
        <f t="shared" si="20"/>
        <v>149.37563807999999</v>
      </c>
      <c r="BB61" s="39">
        <v>0</v>
      </c>
      <c r="BC61" s="41"/>
      <c r="BD61" s="39">
        <f>SUM('[3]SUMMARY BUDGET MOVES '!CK59:CM59)+'[3]SUMMARY BUDGET MOVES '!CF59</f>
        <v>0</v>
      </c>
      <c r="BE61" s="41"/>
      <c r="BF61" s="39">
        <f>(AZ61+BB61)*2%</f>
        <v>2.9875127615999997</v>
      </c>
      <c r="BG61" s="40"/>
      <c r="BH61" s="39">
        <f t="shared" si="21"/>
        <v>152.36315084159997</v>
      </c>
    </row>
    <row r="62" spans="1:60" ht="18" customHeight="1" x14ac:dyDescent="0.25">
      <c r="A62" s="15" t="s">
        <v>71</v>
      </c>
      <c r="B62" s="39">
        <f>'[3]SUMMARY BUDGET MOVES '!I60+'[3]SUMMARY BUDGET MOVES '!R60+'[3]SUMMARY BUDGET MOVES '!S60</f>
        <v>821</v>
      </c>
      <c r="C62" s="40"/>
      <c r="D62" s="39">
        <f>SUM('[3]SUMMARY BUDGET MOVES '!J60)</f>
        <v>0</v>
      </c>
      <c r="E62" s="40"/>
      <c r="F62" s="39">
        <f t="shared" si="13"/>
        <v>821</v>
      </c>
      <c r="G62" s="40"/>
      <c r="H62" s="39">
        <f>SUM('[3]SUMMARY BUDGET MOVES '!L60:N60)</f>
        <v>0</v>
      </c>
      <c r="I62" s="40"/>
      <c r="J62" s="39">
        <f t="shared" si="14"/>
        <v>821</v>
      </c>
      <c r="K62" s="40"/>
      <c r="L62" s="39">
        <f>SUM('[3]SUMMARY BUDGET MOVES '!P60)</f>
        <v>0</v>
      </c>
      <c r="M62" s="40"/>
      <c r="N62" s="39">
        <f t="shared" si="15"/>
        <v>821</v>
      </c>
      <c r="O62" s="40"/>
      <c r="P62" s="39">
        <f>SUM('[3]SUMMARY BUDGET MOVES '!T60:Y60)</f>
        <v>0</v>
      </c>
      <c r="Q62" s="41"/>
      <c r="R62" s="39">
        <f>SUM('[3]SUMMARY BUDGET MOVES '!Z60:AB60)</f>
        <v>0</v>
      </c>
      <c r="S62" s="40"/>
      <c r="T62" s="39">
        <f t="shared" si="16"/>
        <v>821</v>
      </c>
      <c r="U62" s="40"/>
      <c r="V62" s="39">
        <f>SUM('[3]SUMMARY BUDGET MOVES '!AD60:AF60)+SUM('[3]SUMMARY BUDGET MOVES '!AL60:AO60)+'[3]SUMMARY BUDGET MOVES '!AJ60</f>
        <v>0</v>
      </c>
      <c r="W62" s="41"/>
      <c r="X62" s="39">
        <f>SUM('[3]SUMMARY BUDGET MOVES '!AP60:AR60)+'[3]SUMMARY BUDGET MOVES '!AJ60+'[3]SUMMARY BUDGET MOVES '!AK60</f>
        <v>0</v>
      </c>
      <c r="Y62" s="41"/>
      <c r="Z62" s="39">
        <f>'[3]SUMMARY BUDGET MOVES '!AT60+'[3]SUMMARY BUDGET MOVES '!AI60</f>
        <v>16.420000000000002</v>
      </c>
      <c r="AA62" s="40"/>
      <c r="AB62" s="39">
        <f t="shared" si="17"/>
        <v>837.42</v>
      </c>
      <c r="AC62" s="40"/>
      <c r="AD62" s="39">
        <v>0</v>
      </c>
      <c r="AE62" s="41"/>
      <c r="AF62" s="39">
        <f>SUM('[3]SUMMARY BUDGET MOVES '!BH60:BJ60)+'[3]SUMMARY BUDGET MOVES '!BC60</f>
        <v>0</v>
      </c>
      <c r="AG62" s="41"/>
      <c r="AH62" s="39">
        <f>(AB62+AD62)*2%</f>
        <v>16.7484</v>
      </c>
      <c r="AI62" s="40"/>
      <c r="AJ62" s="39">
        <f t="shared" si="18"/>
        <v>854.16839999999991</v>
      </c>
      <c r="AK62" s="40"/>
      <c r="AL62" s="39">
        <v>0</v>
      </c>
      <c r="AM62" s="41"/>
      <c r="AN62" s="39">
        <f>SUM('[3]SUMMARY BUDGET MOVES '!BU60:BW60)+'[3]SUMMARY BUDGET MOVES '!BP60</f>
        <v>0</v>
      </c>
      <c r="AO62" s="41"/>
      <c r="AP62" s="39">
        <f>(AJ62+AL62)*2%</f>
        <v>17.083368</v>
      </c>
      <c r="AQ62" s="40"/>
      <c r="AR62" s="39">
        <f t="shared" si="19"/>
        <v>871.25176799999986</v>
      </c>
      <c r="AT62" s="39">
        <v>0</v>
      </c>
      <c r="AU62" s="41"/>
      <c r="AV62" s="39">
        <f>SUM('[3]SUMMARY BUDGET MOVES '!CC60:CE60)+'[3]SUMMARY BUDGET MOVES '!BX60</f>
        <v>0</v>
      </c>
      <c r="AW62" s="41"/>
      <c r="AX62" s="39">
        <f>(AR62+AT62)*2%</f>
        <v>17.425035359999999</v>
      </c>
      <c r="AY62" s="40"/>
      <c r="AZ62" s="39">
        <f t="shared" si="20"/>
        <v>888.67680335999989</v>
      </c>
      <c r="BB62" s="39">
        <v>0</v>
      </c>
      <c r="BC62" s="41"/>
      <c r="BD62" s="39">
        <f>SUM('[3]SUMMARY BUDGET MOVES '!CK60:CM60)+'[3]SUMMARY BUDGET MOVES '!CF60</f>
        <v>0</v>
      </c>
      <c r="BE62" s="41"/>
      <c r="BF62" s="39">
        <f>(AZ62+BB62)*2%</f>
        <v>17.773536067199998</v>
      </c>
      <c r="BG62" s="40"/>
      <c r="BH62" s="39">
        <f t="shared" si="21"/>
        <v>906.45033942719988</v>
      </c>
    </row>
    <row r="63" spans="1:60" ht="18" customHeight="1" x14ac:dyDescent="0.25">
      <c r="A63" s="15" t="s">
        <v>72</v>
      </c>
      <c r="B63" s="39">
        <f>'[3]SUMMARY BUDGET MOVES '!I61+'[3]SUMMARY BUDGET MOVES '!R61+'[3]SUMMARY BUDGET MOVES '!S61</f>
        <v>134</v>
      </c>
      <c r="C63" s="40"/>
      <c r="D63" s="39">
        <f>SUM('[3]SUMMARY BUDGET MOVES '!J61)</f>
        <v>0</v>
      </c>
      <c r="E63" s="40"/>
      <c r="F63" s="39">
        <f t="shared" si="13"/>
        <v>134</v>
      </c>
      <c r="G63" s="40"/>
      <c r="H63" s="39">
        <f>SUM('[3]SUMMARY BUDGET MOVES '!L61:N61)</f>
        <v>0</v>
      </c>
      <c r="I63" s="40"/>
      <c r="J63" s="39">
        <f t="shared" si="14"/>
        <v>134</v>
      </c>
      <c r="K63" s="40"/>
      <c r="L63" s="39">
        <f>SUM('[3]SUMMARY BUDGET MOVES '!P61)</f>
        <v>0</v>
      </c>
      <c r="M63" s="40"/>
      <c r="N63" s="39">
        <f t="shared" si="15"/>
        <v>134</v>
      </c>
      <c r="O63" s="40"/>
      <c r="P63" s="39">
        <f>SUM('[3]SUMMARY BUDGET MOVES '!T61:Y61)</f>
        <v>0</v>
      </c>
      <c r="Q63" s="41"/>
      <c r="R63" s="39">
        <f>SUM('[3]SUMMARY BUDGET MOVES '!Z61:AB61)</f>
        <v>0</v>
      </c>
      <c r="S63" s="40"/>
      <c r="T63" s="39">
        <f t="shared" si="16"/>
        <v>134</v>
      </c>
      <c r="U63" s="40"/>
      <c r="V63" s="39">
        <f>SUM('[3]SUMMARY BUDGET MOVES '!AD61:AF61)+SUM('[3]SUMMARY BUDGET MOVES '!AL61:AO61)+'[3]SUMMARY BUDGET MOVES '!AJ61</f>
        <v>0</v>
      </c>
      <c r="W63" s="41"/>
      <c r="X63" s="39">
        <f>SUM('[3]SUMMARY BUDGET MOVES '!AP61:AR61)+'[3]SUMMARY BUDGET MOVES '!AJ61+'[3]SUMMARY BUDGET MOVES '!AK61</f>
        <v>0</v>
      </c>
      <c r="Y63" s="41"/>
      <c r="Z63" s="39">
        <f>'[3]SUMMARY BUDGET MOVES '!AT61+'[3]SUMMARY BUDGET MOVES '!AI61</f>
        <v>2.68</v>
      </c>
      <c r="AA63" s="40"/>
      <c r="AB63" s="39">
        <f t="shared" si="17"/>
        <v>136.68</v>
      </c>
      <c r="AC63" s="40"/>
      <c r="AD63" s="39">
        <v>0</v>
      </c>
      <c r="AE63" s="41"/>
      <c r="AF63" s="39">
        <f>SUM('[3]SUMMARY BUDGET MOVES '!BH61:BJ61)+'[3]SUMMARY BUDGET MOVES '!BC61</f>
        <v>0</v>
      </c>
      <c r="AG63" s="41"/>
      <c r="AH63" s="39">
        <f>(AB63+AD63)*2%</f>
        <v>2.7336</v>
      </c>
      <c r="AI63" s="40"/>
      <c r="AJ63" s="39">
        <f t="shared" si="18"/>
        <v>139.4136</v>
      </c>
      <c r="AK63" s="40"/>
      <c r="AL63" s="39">
        <v>0</v>
      </c>
      <c r="AM63" s="41"/>
      <c r="AN63" s="39">
        <f>SUM('[3]SUMMARY BUDGET MOVES '!BU61:BW61)+'[3]SUMMARY BUDGET MOVES '!BP61</f>
        <v>0</v>
      </c>
      <c r="AO63" s="41"/>
      <c r="AP63" s="39">
        <f>(AJ63+AL63)*2%</f>
        <v>2.7882720000000001</v>
      </c>
      <c r="AQ63" s="40"/>
      <c r="AR63" s="39">
        <f t="shared" si="19"/>
        <v>142.20187200000001</v>
      </c>
      <c r="AT63" s="39">
        <v>0</v>
      </c>
      <c r="AU63" s="41"/>
      <c r="AV63" s="39">
        <f>SUM('[3]SUMMARY BUDGET MOVES '!CC61:CE61)+'[3]SUMMARY BUDGET MOVES '!BX61</f>
        <v>0</v>
      </c>
      <c r="AW63" s="41"/>
      <c r="AX63" s="39">
        <f>(AR63+AT63)*2%</f>
        <v>2.8440374400000001</v>
      </c>
      <c r="AY63" s="40"/>
      <c r="AZ63" s="39">
        <f t="shared" si="20"/>
        <v>145.04590944</v>
      </c>
      <c r="BB63" s="39">
        <v>0</v>
      </c>
      <c r="BC63" s="41"/>
      <c r="BD63" s="39">
        <f>SUM('[3]SUMMARY BUDGET MOVES '!CK61:CM61)+'[3]SUMMARY BUDGET MOVES '!CF61</f>
        <v>0</v>
      </c>
      <c r="BE63" s="41"/>
      <c r="BF63" s="39">
        <f>(AZ63+BB63)*2%</f>
        <v>2.9009181888</v>
      </c>
      <c r="BG63" s="40"/>
      <c r="BH63" s="39">
        <f t="shared" si="21"/>
        <v>147.94682762880001</v>
      </c>
    </row>
    <row r="64" spans="1:60" x14ac:dyDescent="0.25">
      <c r="A64" s="15" t="s">
        <v>73</v>
      </c>
      <c r="B64" s="39">
        <f>'[3]SUMMARY BUDGET MOVES '!I63+'[3]SUMMARY BUDGET MOVES '!R63+'[3]SUMMARY BUDGET MOVES '!S63</f>
        <v>3962.8918448390305</v>
      </c>
      <c r="C64" s="40"/>
      <c r="D64" s="39">
        <f>SUM('[3]SUMMARY BUDGET MOVES '!J63)</f>
        <v>806</v>
      </c>
      <c r="E64" s="40"/>
      <c r="F64" s="39">
        <f t="shared" si="13"/>
        <v>4768.8918448390305</v>
      </c>
      <c r="G64" s="40"/>
      <c r="H64" s="39">
        <f>SUM('[3]SUMMARY BUDGET MOVES '!L63:N63)</f>
        <v>0</v>
      </c>
      <c r="I64" s="40"/>
      <c r="J64" s="39">
        <f t="shared" si="14"/>
        <v>4768.8918448390305</v>
      </c>
      <c r="K64" s="40"/>
      <c r="L64" s="39">
        <f>SUM('[3]SUMMARY BUDGET MOVES '!P63)</f>
        <v>0</v>
      </c>
      <c r="M64" s="40"/>
      <c r="N64" s="39">
        <f>J64+L64-2517</f>
        <v>2251.8918448390305</v>
      </c>
      <c r="O64" s="40"/>
      <c r="P64" s="39">
        <f>SUM('[3]SUMMARY BUDGET MOVES '!T63:Y63)</f>
        <v>0</v>
      </c>
      <c r="Q64" s="41"/>
      <c r="R64" s="39">
        <f>SUM('[3]SUMMARY BUDGET MOVES '!Z63:AB63)</f>
        <v>0</v>
      </c>
      <c r="S64" s="40"/>
      <c r="T64" s="39">
        <f t="shared" si="16"/>
        <v>2251.8918448390305</v>
      </c>
      <c r="U64" s="40"/>
      <c r="V64" s="43">
        <f>SUM('[3]SUMMARY BUDGET MOVES '!AD63:AF63)+SUM('[3]SUMMARY BUDGET MOVES '!AL63:AO63)+'[3]SUMMARY BUDGET MOVES '!AJ63+2517</f>
        <v>4324</v>
      </c>
      <c r="W64" s="41"/>
      <c r="X64" s="39">
        <f>SUM('[3]SUMMARY BUDGET MOVES '!AP63:AR63)+'[3]SUMMARY BUDGET MOVES '!AJ63+'[3]SUMMARY BUDGET MOVES '!AK63</f>
        <v>0</v>
      </c>
      <c r="Y64" s="41"/>
      <c r="Z64" s="39">
        <f>'[3]SUMMARY BUDGET MOVES '!AT63+'[3]SUMMARY BUDGET MOVES '!AI63</f>
        <v>15.21902</v>
      </c>
      <c r="AA64" s="40"/>
      <c r="AB64" s="39">
        <f t="shared" si="17"/>
        <v>6591.1108648390309</v>
      </c>
      <c r="AC64" s="40"/>
      <c r="AD64" s="39">
        <v>676</v>
      </c>
      <c r="AE64" s="41"/>
      <c r="AF64" s="39">
        <f>SUM('[3]SUMMARY BUDGET MOVES '!BH63:BJ63)+'[3]SUMMARY BUDGET MOVES '!BC63</f>
        <v>0</v>
      </c>
      <c r="AG64" s="41"/>
      <c r="AH64" s="39">
        <f>Z64*1.02</f>
        <v>15.5234004</v>
      </c>
      <c r="AI64" s="40"/>
      <c r="AJ64" s="39">
        <f t="shared" si="18"/>
        <v>7282.6342652390313</v>
      </c>
      <c r="AK64" s="40"/>
      <c r="AL64" s="39">
        <v>0</v>
      </c>
      <c r="AM64" s="41"/>
      <c r="AN64" s="39">
        <f>SUM('[3]SUMMARY BUDGET MOVES '!BU63:BW63)+'[3]SUMMARY BUDGET MOVES '!BP63</f>
        <v>0</v>
      </c>
      <c r="AO64" s="41"/>
      <c r="AP64" s="39">
        <f>AH64*1.02</f>
        <v>15.833868408000001</v>
      </c>
      <c r="AQ64" s="40"/>
      <c r="AR64" s="39">
        <f t="shared" si="19"/>
        <v>7298.4681336470312</v>
      </c>
      <c r="AT64" s="39">
        <v>0</v>
      </c>
      <c r="AU64" s="41"/>
      <c r="AV64" s="39">
        <f>SUM('[3]SUMMARY BUDGET MOVES '!CC63:CE63)+'[3]SUMMARY BUDGET MOVES '!BX63</f>
        <v>0</v>
      </c>
      <c r="AW64" s="41"/>
      <c r="AX64" s="39">
        <f>AP64*1.02</f>
        <v>16.150545776160001</v>
      </c>
      <c r="AY64" s="40"/>
      <c r="AZ64" s="39">
        <f t="shared" si="20"/>
        <v>7314.6186794231908</v>
      </c>
      <c r="BB64" s="39">
        <v>0</v>
      </c>
      <c r="BC64" s="41"/>
      <c r="BD64" s="39">
        <f>SUM('[3]SUMMARY BUDGET MOVES '!CK63:CM63)+'[3]SUMMARY BUDGET MOVES '!CF63</f>
        <v>0</v>
      </c>
      <c r="BE64" s="41"/>
      <c r="BF64" s="39">
        <f>AX64*1.02</f>
        <v>16.4735566916832</v>
      </c>
      <c r="BG64" s="40"/>
      <c r="BH64" s="39">
        <f t="shared" si="21"/>
        <v>7331.0922361148741</v>
      </c>
    </row>
    <row r="65" spans="1:60" x14ac:dyDescent="0.25">
      <c r="A65" s="15" t="s">
        <v>74</v>
      </c>
      <c r="B65" s="39">
        <f>'[3]SUMMARY BUDGET MOVES '!I64+'[3]SUMMARY BUDGET MOVES '!R64+'[3]SUMMARY BUDGET MOVES '!S64</f>
        <v>2491</v>
      </c>
      <c r="C65" s="40"/>
      <c r="D65" s="39">
        <f>SUM('[3]SUMMARY BUDGET MOVES '!J64)</f>
        <v>0</v>
      </c>
      <c r="E65" s="40"/>
      <c r="F65" s="39">
        <f t="shared" si="13"/>
        <v>2491</v>
      </c>
      <c r="G65" s="40"/>
      <c r="H65" s="39">
        <f>SUM('[3]SUMMARY BUDGET MOVES '!L64:N64)</f>
        <v>0</v>
      </c>
      <c r="I65" s="40"/>
      <c r="J65" s="39">
        <f t="shared" si="14"/>
        <v>2491</v>
      </c>
      <c r="K65" s="40"/>
      <c r="L65" s="55">
        <f>SUM('[3]SUMMARY BUDGET MOVES '!P64)</f>
        <v>0</v>
      </c>
      <c r="M65" s="40"/>
      <c r="N65" s="55">
        <f t="shared" si="15"/>
        <v>2491</v>
      </c>
      <c r="O65" s="56"/>
      <c r="P65" s="39">
        <f>SUM('[3]SUMMARY BUDGET MOVES '!T64:Y64)</f>
        <v>0</v>
      </c>
      <c r="Q65" s="41"/>
      <c r="R65" s="39">
        <f>SUM('[3]SUMMARY BUDGET MOVES '!Z64:AB64)</f>
        <v>0</v>
      </c>
      <c r="S65" s="40"/>
      <c r="T65" s="39">
        <f t="shared" si="16"/>
        <v>2491</v>
      </c>
      <c r="U65" s="56"/>
      <c r="V65" s="43">
        <f>SUM('[3]SUMMARY BUDGET MOVES '!AD64:AF64)+SUM('[3]SUMMARY BUDGET MOVES '!AL64:AO64)+'[3]SUMMARY BUDGET MOVES '!AJ64</f>
        <v>0</v>
      </c>
      <c r="W65" s="41"/>
      <c r="X65" s="39">
        <f>SUM('[3]SUMMARY BUDGET MOVES '!AP64:AR64)+'[3]SUMMARY BUDGET MOVES '!AJ64+'[3]SUMMARY BUDGET MOVES '!AK64</f>
        <v>0</v>
      </c>
      <c r="Y65" s="41"/>
      <c r="Z65" s="39">
        <f>'[3]SUMMARY BUDGET MOVES '!AT64+'[3]SUMMARY BUDGET MOVES '!AI64</f>
        <v>249.10000000000002</v>
      </c>
      <c r="AA65" s="40"/>
      <c r="AB65" s="39">
        <f t="shared" si="17"/>
        <v>2740.1</v>
      </c>
      <c r="AC65" s="40"/>
      <c r="AD65" s="39">
        <v>0</v>
      </c>
      <c r="AE65" s="41"/>
      <c r="AF65" s="39">
        <f>SUM('[3]SUMMARY BUDGET MOVES '!BH64:BJ64)+'[3]SUMMARY BUDGET MOVES '!BC64</f>
        <v>0</v>
      </c>
      <c r="AG65" s="41"/>
      <c r="AH65" s="39">
        <f>(AB65+AD65)*3%</f>
        <v>82.202999999999989</v>
      </c>
      <c r="AI65" s="40"/>
      <c r="AJ65" s="39">
        <f t="shared" si="18"/>
        <v>2822.3029999999999</v>
      </c>
      <c r="AK65" s="40"/>
      <c r="AL65" s="39">
        <v>0</v>
      </c>
      <c r="AM65" s="41"/>
      <c r="AN65" s="39">
        <f>SUM('[3]SUMMARY BUDGET MOVES '!BU64:BW64)+'[3]SUMMARY BUDGET MOVES '!BP64</f>
        <v>0</v>
      </c>
      <c r="AO65" s="41"/>
      <c r="AP65" s="39">
        <f>(AJ65+AL65)*3%</f>
        <v>84.669089999999997</v>
      </c>
      <c r="AQ65" s="40"/>
      <c r="AR65" s="39">
        <f t="shared" si="19"/>
        <v>2906.9720899999998</v>
      </c>
      <c r="AT65" s="39">
        <v>0</v>
      </c>
      <c r="AU65" s="41"/>
      <c r="AV65" s="39">
        <f>SUM('[3]SUMMARY BUDGET MOVES '!CC64:CE64)+'[3]SUMMARY BUDGET MOVES '!BX64</f>
        <v>0</v>
      </c>
      <c r="AW65" s="41"/>
      <c r="AX65" s="39">
        <f>(AR65+AT65)*3%</f>
        <v>87.209162699999993</v>
      </c>
      <c r="AY65" s="40"/>
      <c r="AZ65" s="39">
        <f t="shared" si="20"/>
        <v>2994.1812526999997</v>
      </c>
      <c r="BB65" s="39">
        <v>0</v>
      </c>
      <c r="BC65" s="41"/>
      <c r="BD65" s="39">
        <f>SUM('[3]SUMMARY BUDGET MOVES '!CK64:CM64)+'[3]SUMMARY BUDGET MOVES '!CF64</f>
        <v>0</v>
      </c>
      <c r="BE65" s="41"/>
      <c r="BF65" s="39">
        <f>(AZ65+BB65)*3%</f>
        <v>89.825437580999989</v>
      </c>
      <c r="BG65" s="40"/>
      <c r="BH65" s="39">
        <f t="shared" si="21"/>
        <v>3084.0066902809999</v>
      </c>
    </row>
    <row r="66" spans="1:60" x14ac:dyDescent="0.25">
      <c r="A66" s="15" t="s">
        <v>75</v>
      </c>
      <c r="B66" s="39">
        <f>'[3]SUMMARY BUDGET MOVES '!I65+'[3]SUMMARY BUDGET MOVES '!R65+'[3]SUMMARY BUDGET MOVES '!S65</f>
        <v>-2822</v>
      </c>
      <c r="C66" s="40"/>
      <c r="D66" s="39">
        <f>SUM('[3]SUMMARY BUDGET MOVES '!J65)</f>
        <v>0</v>
      </c>
      <c r="E66" s="40"/>
      <c r="F66" s="39">
        <f t="shared" si="13"/>
        <v>-2822</v>
      </c>
      <c r="G66" s="40"/>
      <c r="H66" s="39">
        <f>SUM('[3]SUMMARY BUDGET MOVES '!L65:N65)</f>
        <v>0</v>
      </c>
      <c r="I66" s="40"/>
      <c r="J66" s="39">
        <f t="shared" si="14"/>
        <v>-2822</v>
      </c>
      <c r="K66" s="40"/>
      <c r="L66" s="39">
        <f>SUM('[3]SUMMARY BUDGET MOVES '!P65)</f>
        <v>0</v>
      </c>
      <c r="M66" s="40"/>
      <c r="N66" s="39">
        <f t="shared" si="15"/>
        <v>-2822</v>
      </c>
      <c r="O66" s="40"/>
      <c r="P66" s="39">
        <f>SUM('[3]SUMMARY BUDGET MOVES '!T65:Y65)</f>
        <v>0</v>
      </c>
      <c r="Q66" s="41"/>
      <c r="R66" s="39">
        <f>SUM('[3]SUMMARY BUDGET MOVES '!Z65:AB65)</f>
        <v>0</v>
      </c>
      <c r="S66" s="40"/>
      <c r="T66" s="39">
        <f t="shared" si="16"/>
        <v>-2822</v>
      </c>
      <c r="U66" s="40"/>
      <c r="V66" s="39">
        <f>SUM('[3]SUMMARY BUDGET MOVES '!AD65:AF65)+SUM('[3]SUMMARY BUDGET MOVES '!AL65:AO65)+'[3]SUMMARY BUDGET MOVES '!AJ65</f>
        <v>240</v>
      </c>
      <c r="W66" s="41"/>
      <c r="X66" s="39">
        <f>SUM('[3]SUMMARY BUDGET MOVES '!AP65:AR65)+'[3]SUMMARY BUDGET MOVES '!AJ65+'[3]SUMMARY BUDGET MOVES '!AK65</f>
        <v>0</v>
      </c>
      <c r="Y66" s="41"/>
      <c r="Z66" s="39">
        <f>'[3]SUMMARY BUDGET MOVES '!AT65+'[3]SUMMARY BUDGET MOVES '!AI65</f>
        <v>0</v>
      </c>
      <c r="AA66" s="40"/>
      <c r="AB66" s="39">
        <f t="shared" si="17"/>
        <v>-2582</v>
      </c>
      <c r="AC66" s="40"/>
      <c r="AD66" s="39">
        <v>0</v>
      </c>
      <c r="AE66" s="41"/>
      <c r="AF66" s="39">
        <f>SUM('[3]SUMMARY BUDGET MOVES '!BH65:BJ65)+'[3]SUMMARY BUDGET MOVES '!BC65</f>
        <v>0</v>
      </c>
      <c r="AG66" s="41"/>
      <c r="AH66" s="39">
        <v>0</v>
      </c>
      <c r="AI66" s="40"/>
      <c r="AJ66" s="39">
        <f t="shared" si="18"/>
        <v>-2582</v>
      </c>
      <c r="AK66" s="40"/>
      <c r="AL66" s="39">
        <v>0</v>
      </c>
      <c r="AM66" s="41"/>
      <c r="AN66" s="39">
        <f>SUM('[3]SUMMARY BUDGET MOVES '!BU65:BW65)+'[3]SUMMARY BUDGET MOVES '!BP65</f>
        <v>0</v>
      </c>
      <c r="AO66" s="41"/>
      <c r="AP66" s="39">
        <v>0</v>
      </c>
      <c r="AQ66" s="40"/>
      <c r="AR66" s="39">
        <f t="shared" si="19"/>
        <v>-2582</v>
      </c>
      <c r="AT66" s="39">
        <v>0</v>
      </c>
      <c r="AU66" s="41"/>
      <c r="AV66" s="39">
        <f>SUM('[3]SUMMARY BUDGET MOVES '!CC65:CE65)+'[3]SUMMARY BUDGET MOVES '!BX65</f>
        <v>0</v>
      </c>
      <c r="AW66" s="41"/>
      <c r="AX66" s="39">
        <v>0</v>
      </c>
      <c r="AY66" s="40"/>
      <c r="AZ66" s="39">
        <f t="shared" si="20"/>
        <v>-2582</v>
      </c>
      <c r="BB66" s="39">
        <v>0</v>
      </c>
      <c r="BC66" s="41"/>
      <c r="BD66" s="39">
        <f>SUM('[3]SUMMARY BUDGET MOVES '!CK65:CM65)+'[3]SUMMARY BUDGET MOVES '!CF65</f>
        <v>0</v>
      </c>
      <c r="BE66" s="41"/>
      <c r="BF66" s="39">
        <v>0</v>
      </c>
      <c r="BG66" s="40"/>
      <c r="BH66" s="39">
        <f t="shared" si="21"/>
        <v>-2582</v>
      </c>
    </row>
    <row r="67" spans="1:60" x14ac:dyDescent="0.25">
      <c r="A67" s="13" t="s">
        <v>76</v>
      </c>
      <c r="B67" s="39">
        <f>'[3]SUMMARY BUDGET MOVES '!I66+'[3]SUMMARY BUDGET MOVES '!R66+'[3]SUMMARY BUDGET MOVES '!S66</f>
        <v>-4449</v>
      </c>
      <c r="C67" s="40"/>
      <c r="D67" s="39">
        <f>SUM('[3]SUMMARY BUDGET MOVES '!J66)</f>
        <v>-121</v>
      </c>
      <c r="E67" s="40"/>
      <c r="F67" s="39">
        <f t="shared" si="13"/>
        <v>-4570</v>
      </c>
      <c r="G67" s="40"/>
      <c r="H67" s="39">
        <f>SUM('[3]SUMMARY BUDGET MOVES '!L66:N66)</f>
        <v>0</v>
      </c>
      <c r="I67" s="40"/>
      <c r="J67" s="39">
        <f t="shared" si="14"/>
        <v>-4570</v>
      </c>
      <c r="K67" s="40"/>
      <c r="L67" s="39">
        <f>SUM('[3]SUMMARY BUDGET MOVES '!P66)</f>
        <v>0</v>
      </c>
      <c r="M67" s="40"/>
      <c r="N67" s="39">
        <f t="shared" si="15"/>
        <v>-4570</v>
      </c>
      <c r="O67" s="40"/>
      <c r="P67" s="39">
        <f>SUM('[3]SUMMARY BUDGET MOVES '!T66:Y66)</f>
        <v>0</v>
      </c>
      <c r="Q67" s="41"/>
      <c r="R67" s="39">
        <f>SUM('[3]SUMMARY BUDGET MOVES '!Z66:AB66)</f>
        <v>0</v>
      </c>
      <c r="S67" s="40"/>
      <c r="T67" s="39">
        <f t="shared" si="16"/>
        <v>-4570</v>
      </c>
      <c r="U67" s="40"/>
      <c r="V67" s="39">
        <f>SUM('[3]SUMMARY BUDGET MOVES '!AD66:AF66)+SUM('[3]SUMMARY BUDGET MOVES '!AL66:AO66)+'[3]SUMMARY BUDGET MOVES '!AJ66</f>
        <v>0</v>
      </c>
      <c r="W67" s="41"/>
      <c r="X67" s="39">
        <f>SUM('[3]SUMMARY BUDGET MOVES '!AP66:AR66)+'[3]SUMMARY BUDGET MOVES '!AJ66+'[3]SUMMARY BUDGET MOVES '!AK66</f>
        <v>-410</v>
      </c>
      <c r="Y67" s="41"/>
      <c r="Z67" s="39">
        <f>'[3]SUMMARY BUDGET MOVES '!AT66+'[3]SUMMARY BUDGET MOVES '!AI66</f>
        <v>-35.350000000000009</v>
      </c>
      <c r="AA67" s="40"/>
      <c r="AB67" s="39">
        <f t="shared" si="17"/>
        <v>-5015.3500000000004</v>
      </c>
      <c r="AC67" s="40"/>
      <c r="AD67" s="39">
        <v>0</v>
      </c>
      <c r="AE67" s="41"/>
      <c r="AF67" s="39">
        <f>SUM('[3]SUMMARY BUDGET MOVES '!BH66:BJ66)+'[3]SUMMARY BUDGET MOVES '!BC66</f>
        <v>0</v>
      </c>
      <c r="AG67" s="41"/>
      <c r="AH67" s="39">
        <v>0</v>
      </c>
      <c r="AI67" s="40"/>
      <c r="AJ67" s="39">
        <f t="shared" si="18"/>
        <v>-5015.3500000000004</v>
      </c>
      <c r="AK67" s="40"/>
      <c r="AL67" s="39">
        <v>0</v>
      </c>
      <c r="AM67" s="41"/>
      <c r="AN67" s="39">
        <f>SUM('[3]SUMMARY BUDGET MOVES '!BU66:BW66)+'[3]SUMMARY BUDGET MOVES '!BP66</f>
        <v>0</v>
      </c>
      <c r="AO67" s="41"/>
      <c r="AP67" s="39">
        <v>0</v>
      </c>
      <c r="AQ67" s="40"/>
      <c r="AR67" s="39">
        <f t="shared" si="19"/>
        <v>-5015.3500000000004</v>
      </c>
      <c r="AT67" s="39">
        <v>0</v>
      </c>
      <c r="AU67" s="41"/>
      <c r="AV67" s="39">
        <f>SUM('[3]SUMMARY BUDGET MOVES '!CC66:CE66)+'[3]SUMMARY BUDGET MOVES '!BX66</f>
        <v>0</v>
      </c>
      <c r="AW67" s="41"/>
      <c r="AX67" s="39">
        <v>0</v>
      </c>
      <c r="AY67" s="40"/>
      <c r="AZ67" s="39">
        <f t="shared" si="20"/>
        <v>-5015.3500000000004</v>
      </c>
      <c r="BB67" s="39">
        <v>0</v>
      </c>
      <c r="BC67" s="41"/>
      <c r="BD67" s="39">
        <f>SUM('[3]SUMMARY BUDGET MOVES '!CK66:CM66)+'[3]SUMMARY BUDGET MOVES '!CF66</f>
        <v>0</v>
      </c>
      <c r="BE67" s="41"/>
      <c r="BF67" s="39">
        <v>0</v>
      </c>
      <c r="BG67" s="40"/>
      <c r="BH67" s="39">
        <f t="shared" si="21"/>
        <v>-5015.3500000000004</v>
      </c>
    </row>
    <row r="68" spans="1:60" ht="18.75" thickBot="1" x14ac:dyDescent="0.3">
      <c r="A68" s="47" t="s">
        <v>77</v>
      </c>
      <c r="B68" s="46">
        <f>SUM(B54:B67)</f>
        <v>20089.891844839032</v>
      </c>
      <c r="C68" s="40"/>
      <c r="D68" s="46">
        <f>SUM(D54:D67)</f>
        <v>641</v>
      </c>
      <c r="E68" s="46" t="s">
        <v>0</v>
      </c>
      <c r="F68" s="46">
        <f>SUM(F54:F67)</f>
        <v>20730.891844839032</v>
      </c>
      <c r="G68" s="46"/>
      <c r="H68" s="46">
        <f>SUM(H54:H67)</f>
        <v>0</v>
      </c>
      <c r="I68" s="46" t="s">
        <v>0</v>
      </c>
      <c r="J68" s="46">
        <f>SUM(J54:J67)</f>
        <v>20730.891844839032</v>
      </c>
      <c r="K68" s="46">
        <f>SUM(K54:K67)</f>
        <v>0</v>
      </c>
      <c r="L68" s="46">
        <f>SUM(L54:L67)</f>
        <v>0</v>
      </c>
      <c r="M68" s="46" t="s">
        <v>0</v>
      </c>
      <c r="N68" s="46">
        <f>SUM(N54:N67)</f>
        <v>18213.891844839032</v>
      </c>
      <c r="O68" s="46" t="s">
        <v>0</v>
      </c>
      <c r="P68" s="46">
        <f>SUM(P54:P67)</f>
        <v>0</v>
      </c>
      <c r="Q68" s="46" t="s">
        <v>0</v>
      </c>
      <c r="R68" s="46">
        <f>SUM(R54:R67)</f>
        <v>0</v>
      </c>
      <c r="S68" s="46" t="s">
        <v>0</v>
      </c>
      <c r="T68" s="46">
        <f>SUM(T54:T67)</f>
        <v>18213.891844839032</v>
      </c>
      <c r="U68" s="46"/>
      <c r="V68" s="46">
        <f>SUM(V54:V67)</f>
        <v>4393</v>
      </c>
      <c r="W68" s="46">
        <f>SUM(W54:W67)</f>
        <v>0</v>
      </c>
      <c r="X68" s="46">
        <f>SUM(X54:X67)</f>
        <v>-1120</v>
      </c>
      <c r="Y68" s="46" t="s">
        <v>0</v>
      </c>
      <c r="Z68" s="46">
        <f>SUM(Z54:Z67)</f>
        <v>481.93118666666669</v>
      </c>
      <c r="AA68" s="46" t="s">
        <v>0</v>
      </c>
      <c r="AB68" s="46">
        <f>SUM(AB54:AB67)</f>
        <v>21968.823031505694</v>
      </c>
      <c r="AC68" s="46"/>
      <c r="AD68" s="46">
        <f>SUM(AD54:AD67)</f>
        <v>-13</v>
      </c>
      <c r="AE68" s="46"/>
      <c r="AF68" s="46">
        <f>SUM(AF54:AF67)</f>
        <v>-374</v>
      </c>
      <c r="AG68" s="46"/>
      <c r="AH68" s="46">
        <f>SUM(AH54:AH67)</f>
        <v>457.23206540000001</v>
      </c>
      <c r="AI68" s="46"/>
      <c r="AJ68" s="46">
        <f>SUM(AJ54:AJ67)</f>
        <v>22039.055096905693</v>
      </c>
      <c r="AK68" s="40"/>
      <c r="AL68" s="46">
        <f>SUM(AL54:AL67)</f>
        <v>0</v>
      </c>
      <c r="AM68" s="46"/>
      <c r="AN68" s="46">
        <f>SUM(AN54:AN67)</f>
        <v>-169</v>
      </c>
      <c r="AO68" s="46"/>
      <c r="AP68" s="46">
        <f>SUM(AP54:AP67)</f>
        <v>472.38561135800001</v>
      </c>
      <c r="AQ68" s="46"/>
      <c r="AR68" s="46">
        <f>SUM(AR54:AR67)</f>
        <v>22342.440708263697</v>
      </c>
      <c r="AT68" s="46">
        <f>SUM(AT54:AT67)</f>
        <v>0</v>
      </c>
      <c r="AU68" s="46"/>
      <c r="AV68" s="46">
        <f>SUM(AV54:AV67)</f>
        <v>-178</v>
      </c>
      <c r="AW68" s="46"/>
      <c r="AX68" s="46">
        <f>SUM(AX54:AX67)</f>
        <v>488.07760207465998</v>
      </c>
      <c r="AY68" s="46"/>
      <c r="AZ68" s="46">
        <f>SUM(AZ54:AZ67)</f>
        <v>22652.518310338353</v>
      </c>
      <c r="BB68" s="46">
        <f>SUM(BB54:BB67)</f>
        <v>0</v>
      </c>
      <c r="BC68" s="46"/>
      <c r="BD68" s="46">
        <f>SUM(BD54:BD67)</f>
        <v>0</v>
      </c>
      <c r="BE68" s="46"/>
      <c r="BF68" s="46">
        <f>SUM(BF54:BF67)</f>
        <v>504.32862631033811</v>
      </c>
      <c r="BG68" s="46"/>
      <c r="BH68" s="46">
        <f>SUM(BH54:BH67)</f>
        <v>23156.84693664869</v>
      </c>
    </row>
    <row r="69" spans="1:60" ht="18.75" thickBot="1" x14ac:dyDescent="0.3">
      <c r="B69" s="51"/>
      <c r="C69" s="49"/>
      <c r="D69" s="51"/>
      <c r="E69" s="49"/>
      <c r="F69" s="51"/>
      <c r="G69" s="49"/>
      <c r="H69" s="51"/>
      <c r="I69" s="40"/>
      <c r="J69" s="51"/>
      <c r="K69" s="40"/>
      <c r="L69" s="51"/>
      <c r="M69" s="40"/>
      <c r="N69" s="51"/>
      <c r="O69" s="49"/>
      <c r="P69" s="51"/>
      <c r="Q69" s="49"/>
      <c r="R69" s="51"/>
      <c r="S69" s="40"/>
      <c r="T69" s="51"/>
      <c r="U69" s="49"/>
      <c r="V69" s="51"/>
      <c r="W69" s="49"/>
      <c r="X69" s="51"/>
      <c r="Y69" s="49"/>
      <c r="Z69" s="51"/>
      <c r="AA69" s="40"/>
      <c r="AB69" s="51"/>
      <c r="AC69" s="49"/>
      <c r="AD69" s="51"/>
      <c r="AE69" s="49"/>
      <c r="AF69" s="51"/>
      <c r="AG69" s="49"/>
      <c r="AH69" s="51"/>
      <c r="AI69" s="40"/>
      <c r="AJ69" s="51"/>
      <c r="AK69" s="40"/>
      <c r="AL69" s="51"/>
      <c r="AM69" s="49"/>
      <c r="AN69" s="51"/>
      <c r="AO69" s="49"/>
      <c r="AP69" s="51"/>
      <c r="AQ69" s="40"/>
      <c r="AR69" s="51"/>
      <c r="AT69" s="51"/>
      <c r="AU69" s="49"/>
      <c r="AV69" s="51"/>
      <c r="AW69" s="49"/>
      <c r="AX69" s="51"/>
      <c r="AY69" s="40"/>
      <c r="AZ69" s="51"/>
      <c r="BB69" s="51"/>
      <c r="BC69" s="49"/>
      <c r="BD69" s="51"/>
      <c r="BE69" s="49"/>
      <c r="BF69" s="51"/>
      <c r="BG69" s="40"/>
      <c r="BH69" s="51"/>
    </row>
    <row r="70" spans="1:60" ht="7.5" customHeight="1" x14ac:dyDescent="0.25">
      <c r="A70" s="57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T70" s="40"/>
      <c r="AU70" s="40"/>
      <c r="AV70" s="40"/>
      <c r="AW70" s="40"/>
      <c r="AX70" s="40"/>
      <c r="AY70" s="40"/>
      <c r="AZ70" s="40"/>
      <c r="BB70" s="40"/>
      <c r="BC70" s="40"/>
      <c r="BD70" s="40"/>
      <c r="BE70" s="40"/>
      <c r="BF70" s="40"/>
      <c r="BG70" s="40"/>
      <c r="BH70" s="40"/>
    </row>
    <row r="71" spans="1:60" ht="8.25" customHeight="1" thickBot="1" x14ac:dyDescent="0.3">
      <c r="B71" s="58"/>
      <c r="C71" s="49"/>
      <c r="D71" s="58"/>
      <c r="E71" s="49"/>
      <c r="F71" s="58"/>
      <c r="G71" s="49"/>
      <c r="H71" s="59"/>
      <c r="I71" s="40"/>
      <c r="J71" s="58"/>
      <c r="K71" s="40"/>
      <c r="L71" s="58"/>
      <c r="M71" s="40"/>
      <c r="N71" s="58"/>
      <c r="O71" s="49"/>
      <c r="P71" s="59"/>
      <c r="Q71" s="49"/>
      <c r="R71" s="58"/>
      <c r="S71" s="40"/>
      <c r="T71" s="58"/>
      <c r="U71" s="49"/>
      <c r="V71" s="59"/>
      <c r="W71" s="49"/>
      <c r="X71" s="58"/>
      <c r="Y71" s="49"/>
      <c r="Z71" s="59"/>
      <c r="AA71" s="40"/>
      <c r="AB71" s="58"/>
      <c r="AC71" s="49"/>
      <c r="AD71" s="59"/>
      <c r="AE71" s="49"/>
      <c r="AF71" s="58"/>
      <c r="AG71" s="49"/>
      <c r="AH71" s="59"/>
      <c r="AI71" s="40"/>
      <c r="AJ71" s="58"/>
      <c r="AK71" s="40"/>
      <c r="AL71" s="59"/>
      <c r="AM71" s="49"/>
      <c r="AN71" s="58"/>
      <c r="AO71" s="49"/>
      <c r="AP71" s="59"/>
      <c r="AQ71" s="40"/>
      <c r="AR71" s="58"/>
      <c r="AT71" s="59"/>
      <c r="AU71" s="49"/>
      <c r="AV71" s="58"/>
      <c r="AW71" s="49"/>
      <c r="AX71" s="59"/>
      <c r="AY71" s="40"/>
      <c r="AZ71" s="58"/>
      <c r="BB71" s="59"/>
      <c r="BC71" s="49"/>
      <c r="BD71" s="58"/>
      <c r="BE71" s="49"/>
      <c r="BF71" s="59"/>
      <c r="BG71" s="40"/>
      <c r="BH71" s="58"/>
    </row>
    <row r="72" spans="1:60" ht="26.25" customHeight="1" thickBot="1" x14ac:dyDescent="0.3">
      <c r="A72" s="60" t="s">
        <v>78</v>
      </c>
      <c r="B72" s="48">
        <f>B68+B48</f>
        <v>403559.5085145816</v>
      </c>
      <c r="C72" s="48"/>
      <c r="D72" s="48">
        <f>D68+D48</f>
        <v>-2490</v>
      </c>
      <c r="E72" s="48" t="s">
        <v>0</v>
      </c>
      <c r="F72" s="48">
        <f>F68+F48</f>
        <v>401069.5085145816</v>
      </c>
      <c r="G72" s="48"/>
      <c r="H72" s="48">
        <f>H68+H48</f>
        <v>-956.97178668128254</v>
      </c>
      <c r="I72" s="48"/>
      <c r="J72" s="48">
        <f>J68+J48</f>
        <v>400112.53672790033</v>
      </c>
      <c r="K72" s="48"/>
      <c r="L72" s="48">
        <f>L68+L48</f>
        <v>-2585</v>
      </c>
      <c r="M72" s="48" t="s">
        <v>0</v>
      </c>
      <c r="N72" s="61">
        <f>N68+N48</f>
        <v>395010.53672790033</v>
      </c>
      <c r="O72" s="40"/>
      <c r="P72" s="61">
        <f>P68+P48</f>
        <v>0</v>
      </c>
      <c r="Q72" s="48" t="s">
        <v>0</v>
      </c>
      <c r="R72" s="62">
        <f>R68+R48</f>
        <v>0</v>
      </c>
      <c r="S72" s="40"/>
      <c r="T72" s="61">
        <f>T68+T48</f>
        <v>395010.53672790033</v>
      </c>
      <c r="U72" s="40"/>
      <c r="V72" s="61">
        <f>V68+V48</f>
        <v>18666.333333333336</v>
      </c>
      <c r="W72" s="40"/>
      <c r="X72" s="61">
        <f>X68+X48</f>
        <v>-24189.85</v>
      </c>
      <c r="Y72" s="40"/>
      <c r="Z72" s="61">
        <f>Z68+Z48</f>
        <v>6882.9168593608219</v>
      </c>
      <c r="AA72" s="40" t="s">
        <v>0</v>
      </c>
      <c r="AB72" s="61">
        <f>AB68+AB48</f>
        <v>396369.93692059448</v>
      </c>
      <c r="AC72" s="40"/>
      <c r="AD72" s="61">
        <f>AD68+AD48</f>
        <v>16297.666666666668</v>
      </c>
      <c r="AE72" s="40"/>
      <c r="AF72" s="61">
        <f>AF68+AF48</f>
        <v>-24968.618333333332</v>
      </c>
      <c r="AG72" s="40"/>
      <c r="AH72" s="61">
        <f>AH68+AH48</f>
        <v>6871.6684242896135</v>
      </c>
      <c r="AI72" s="40"/>
      <c r="AJ72" s="61">
        <f>SUM(AB72:AH72)</f>
        <v>394570.65367821744</v>
      </c>
      <c r="AK72" s="40"/>
      <c r="AL72" s="61">
        <f>AL68+AL48</f>
        <v>5000</v>
      </c>
      <c r="AM72" s="40"/>
      <c r="AN72" s="61">
        <f>AN68+AN48</f>
        <v>-24741.360500000003</v>
      </c>
      <c r="AO72" s="40"/>
      <c r="AP72" s="61">
        <f>AP68+AP48</f>
        <v>7210.8807421573565</v>
      </c>
      <c r="AQ72" s="40"/>
      <c r="AR72" s="61">
        <f>AR68+AR48</f>
        <v>382040.17392037483</v>
      </c>
      <c r="AS72" s="40"/>
      <c r="AT72" s="61">
        <f>AT68+AT48</f>
        <v>3800</v>
      </c>
      <c r="AU72" s="40"/>
      <c r="AV72" s="61">
        <f>AV68+AV48</f>
        <v>-20798.052100000001</v>
      </c>
      <c r="AW72" s="40"/>
      <c r="AX72" s="61">
        <f>AX68+AX48</f>
        <v>7185.1594379369808</v>
      </c>
      <c r="AY72" s="40"/>
      <c r="AZ72" s="61">
        <f>AZ68+AZ48</f>
        <v>372227.28125831176</v>
      </c>
      <c r="BB72" s="61">
        <f>BB68+BB48</f>
        <v>3800</v>
      </c>
      <c r="BC72" s="40"/>
      <c r="BD72" s="61">
        <f>BD68+BD48</f>
        <v>-17380.336487750003</v>
      </c>
      <c r="BE72" s="40"/>
      <c r="BF72" s="61">
        <f>BF68+BF48</f>
        <v>7296.748236689964</v>
      </c>
      <c r="BG72" s="40"/>
      <c r="BH72" s="61">
        <f>BH68+BH48</f>
        <v>365943.69300725171</v>
      </c>
    </row>
    <row r="73" spans="1:60" ht="18.75" thickTop="1" x14ac:dyDescent="0.25">
      <c r="A73" s="35"/>
      <c r="B73" s="52"/>
      <c r="C73" s="49"/>
      <c r="D73" s="63"/>
      <c r="E73" s="49"/>
      <c r="F73" s="63"/>
      <c r="G73" s="40"/>
      <c r="H73" s="39"/>
      <c r="I73" s="40"/>
      <c r="J73" s="63"/>
      <c r="K73" s="40"/>
      <c r="L73" s="52"/>
      <c r="M73" s="40"/>
      <c r="N73" s="63"/>
      <c r="O73" s="49"/>
      <c r="P73" s="63"/>
      <c r="Q73" s="49"/>
      <c r="R73" s="52"/>
      <c r="S73" s="40"/>
      <c r="T73" s="63"/>
      <c r="U73" s="40"/>
      <c r="V73" s="63" t="s">
        <v>0</v>
      </c>
      <c r="W73" s="40"/>
      <c r="X73" s="63" t="s">
        <v>0</v>
      </c>
      <c r="Y73" s="40"/>
      <c r="Z73" s="63"/>
      <c r="AA73" s="40"/>
      <c r="AB73" s="63"/>
      <c r="AC73" s="40"/>
      <c r="AD73" s="63"/>
      <c r="AE73" s="40"/>
      <c r="AF73" s="63"/>
      <c r="AG73" s="40"/>
      <c r="AH73" s="63"/>
      <c r="AI73" s="40"/>
      <c r="AJ73" s="63"/>
      <c r="AK73" s="40"/>
      <c r="AL73" s="63"/>
      <c r="AM73" s="40"/>
      <c r="AN73" s="63"/>
      <c r="AO73" s="40"/>
      <c r="AP73" s="63"/>
      <c r="AQ73" s="40"/>
      <c r="AR73" s="63"/>
      <c r="AS73" s="40"/>
      <c r="AT73" s="63"/>
      <c r="AU73" s="40"/>
      <c r="AV73" s="63"/>
      <c r="AW73" s="40"/>
      <c r="AX73" s="63"/>
      <c r="AY73" s="40"/>
      <c r="AZ73" s="63"/>
      <c r="BB73" s="63"/>
      <c r="BC73" s="40"/>
      <c r="BD73" s="63"/>
      <c r="BE73" s="40"/>
      <c r="BF73" s="63"/>
      <c r="BG73" s="40"/>
      <c r="BH73" s="63"/>
    </row>
    <row r="74" spans="1:60" x14ac:dyDescent="0.25">
      <c r="A74" s="15" t="s">
        <v>79</v>
      </c>
      <c r="B74" s="39"/>
      <c r="C74" s="40"/>
      <c r="D74" s="39"/>
      <c r="E74" s="40"/>
      <c r="F74" s="39"/>
      <c r="G74" s="40"/>
      <c r="H74" s="39"/>
      <c r="I74" s="40"/>
      <c r="J74" s="39"/>
      <c r="K74" s="40"/>
      <c r="L74" s="39"/>
      <c r="M74" s="40"/>
      <c r="N74" s="39"/>
      <c r="O74" s="40"/>
      <c r="P74" s="39"/>
      <c r="Q74" s="41"/>
      <c r="R74" s="39"/>
      <c r="S74" s="40"/>
      <c r="T74" s="39"/>
      <c r="U74" s="40"/>
      <c r="V74" s="39"/>
      <c r="W74" s="40"/>
      <c r="X74" s="39"/>
      <c r="Y74" s="40"/>
      <c r="Z74" s="39"/>
      <c r="AA74" s="40"/>
      <c r="AB74" s="39"/>
      <c r="AC74" s="40"/>
      <c r="AD74" s="39"/>
      <c r="AE74" s="40"/>
      <c r="AF74" s="39"/>
      <c r="AG74" s="40"/>
      <c r="AH74" s="39"/>
      <c r="AI74" s="40"/>
      <c r="AJ74" s="39"/>
      <c r="AK74" s="40"/>
      <c r="AL74" s="39"/>
      <c r="AM74" s="40"/>
      <c r="AN74" s="39"/>
      <c r="AO74" s="40"/>
      <c r="AP74" s="39"/>
      <c r="AQ74" s="40"/>
      <c r="AR74" s="39"/>
      <c r="AS74" s="40"/>
      <c r="AT74" s="39"/>
      <c r="AU74" s="40"/>
      <c r="AV74" s="39"/>
      <c r="AW74" s="40"/>
      <c r="AX74" s="39"/>
      <c r="AY74" s="40"/>
      <c r="AZ74" s="39"/>
      <c r="BB74" s="39"/>
      <c r="BC74" s="40"/>
      <c r="BD74" s="39"/>
      <c r="BE74" s="40"/>
      <c r="BF74" s="39"/>
      <c r="BG74" s="40"/>
      <c r="BH74" s="39"/>
    </row>
    <row r="75" spans="1:60" x14ac:dyDescent="0.25">
      <c r="A75" s="15" t="s">
        <v>80</v>
      </c>
      <c r="B75" s="39">
        <f>'[3]SUMMARY BUDGET MOVES '!I83+'[3]SUMMARY BUDGET MOVES '!R83+'[3]SUMMARY BUDGET MOVES '!S83</f>
        <v>0</v>
      </c>
      <c r="C75" s="40"/>
      <c r="D75" s="39">
        <f>SUM('[3]SUMMARY BUDGET MOVES '!J83)</f>
        <v>0</v>
      </c>
      <c r="E75" s="40"/>
      <c r="F75" s="39">
        <f>B75+D75</f>
        <v>0</v>
      </c>
      <c r="G75" s="40"/>
      <c r="H75" s="39">
        <f>SUM('[3]SUMMARY BUDGET MOVES '!L83:N83)</f>
        <v>0</v>
      </c>
      <c r="I75" s="40"/>
      <c r="J75" s="39">
        <f>F75+H75</f>
        <v>0</v>
      </c>
      <c r="K75" s="40"/>
      <c r="L75" s="39">
        <f>SUM('[3]SUMMARY BUDGET MOVES '!P83)</f>
        <v>0</v>
      </c>
      <c r="M75" s="40"/>
      <c r="N75" s="39">
        <f>J75+L75</f>
        <v>0</v>
      </c>
      <c r="O75" s="40"/>
      <c r="P75" s="39">
        <f>SUM('[3]SUMMARY BUDGET MOVES '!T83:Y83)</f>
        <v>0</v>
      </c>
      <c r="Q75" s="41"/>
      <c r="R75" s="39">
        <f>SUM('[3]SUMMARY BUDGET MOVES '!Z83:AB83)</f>
        <v>0</v>
      </c>
      <c r="S75" s="40"/>
      <c r="T75" s="39">
        <f>SUM(N75:R75)</f>
        <v>0</v>
      </c>
      <c r="U75" s="40"/>
      <c r="V75" s="39">
        <f>SUM('[3]SUMMARY BUDGET MOVES '!AD83:AF83)+SUM('[3]SUMMARY BUDGET MOVES '!AL83:AO83)</f>
        <v>0</v>
      </c>
      <c r="W75" s="40"/>
      <c r="X75" s="39">
        <f>SUM('[3]SUMMARY BUDGET MOVES '!AP83:AR83)+'[3]SUMMARY BUDGET MOVES '!AJ83+'[3]SUMMARY BUDGET MOVES '!AK83</f>
        <v>0</v>
      </c>
      <c r="Y75" s="40"/>
      <c r="Z75" s="39">
        <f>'[3]SUMMARY BUDGET MOVES '!AT83+'[3]SUMMARY BUDGET MOVES '!AI83</f>
        <v>0</v>
      </c>
      <c r="AA75" s="40"/>
      <c r="AB75" s="39">
        <f>SUM(T75:Z75)</f>
        <v>0</v>
      </c>
      <c r="AC75" s="40"/>
      <c r="AD75" s="39">
        <v>0</v>
      </c>
      <c r="AE75" s="40"/>
      <c r="AF75" s="39">
        <v>0</v>
      </c>
      <c r="AG75" s="40"/>
      <c r="AH75" s="39"/>
      <c r="AI75" s="40"/>
      <c r="AJ75" s="39">
        <f>SUM(AB75:AH75)</f>
        <v>0</v>
      </c>
      <c r="AK75" s="40"/>
      <c r="AL75" s="39">
        <v>0</v>
      </c>
      <c r="AM75" s="40"/>
      <c r="AN75" s="39"/>
      <c r="AO75" s="40"/>
      <c r="AP75" s="39"/>
      <c r="AQ75" s="40"/>
      <c r="AR75" s="39">
        <f>SUM(AJ75:AP75)</f>
        <v>0</v>
      </c>
      <c r="AS75" s="40"/>
      <c r="AT75" s="39">
        <f>'[3]People Forecast '!AD86</f>
        <v>0</v>
      </c>
      <c r="AU75" s="40"/>
      <c r="AV75" s="39"/>
      <c r="AW75" s="40"/>
      <c r="AX75" s="39"/>
      <c r="AY75" s="40"/>
      <c r="AZ75" s="39">
        <f>SUM(AR75:AX75)</f>
        <v>0</v>
      </c>
      <c r="BB75" s="39">
        <f>'[3]People Forecast '!AL86</f>
        <v>0</v>
      </c>
      <c r="BC75" s="40"/>
      <c r="BD75" s="39"/>
      <c r="BE75" s="40"/>
      <c r="BF75" s="39"/>
      <c r="BG75" s="40"/>
      <c r="BH75" s="39">
        <f>SUM(AZ75:BF75)</f>
        <v>0</v>
      </c>
    </row>
    <row r="76" spans="1:60" x14ac:dyDescent="0.25">
      <c r="A76" s="15" t="s">
        <v>81</v>
      </c>
      <c r="B76" s="39"/>
      <c r="C76" s="40"/>
      <c r="D76" s="39"/>
      <c r="E76" s="40"/>
      <c r="F76" s="39"/>
      <c r="G76" s="40"/>
      <c r="H76" s="39"/>
      <c r="I76" s="40"/>
      <c r="J76" s="39"/>
      <c r="K76" s="40"/>
      <c r="L76" s="39"/>
      <c r="M76" s="40"/>
      <c r="N76" s="39"/>
      <c r="O76" s="40"/>
      <c r="P76" s="39">
        <v>400</v>
      </c>
      <c r="Q76" s="41"/>
      <c r="R76" s="39"/>
      <c r="S76" s="40"/>
      <c r="T76" s="39">
        <f>SUM(N76:R76)</f>
        <v>400</v>
      </c>
      <c r="U76" s="40"/>
      <c r="V76" s="39">
        <v>1350</v>
      </c>
      <c r="W76" s="40"/>
      <c r="X76" s="39"/>
      <c r="Y76" s="40"/>
      <c r="Z76" s="39"/>
      <c r="AA76" s="40"/>
      <c r="AB76" s="39">
        <f>SUM(T76:Z76)</f>
        <v>1750</v>
      </c>
      <c r="AC76" s="40"/>
      <c r="AD76" s="39">
        <v>-400</v>
      </c>
      <c r="AE76" s="40"/>
      <c r="AF76" s="39">
        <v>0</v>
      </c>
      <c r="AG76" s="40"/>
      <c r="AH76" s="39"/>
      <c r="AI76" s="40"/>
      <c r="AJ76" s="39">
        <f>SUM(AB76:AH76)</f>
        <v>1350</v>
      </c>
      <c r="AK76" s="40"/>
      <c r="AL76" s="39">
        <v>-1350</v>
      </c>
      <c r="AM76" s="40"/>
      <c r="AN76" s="39"/>
      <c r="AO76" s="40"/>
      <c r="AP76" s="39"/>
      <c r="AQ76" s="40"/>
      <c r="AR76" s="39">
        <f>SUM(AJ76:AP76)</f>
        <v>0</v>
      </c>
      <c r="AS76" s="40"/>
      <c r="AT76" s="39">
        <v>0</v>
      </c>
      <c r="AU76" s="40"/>
      <c r="AV76" s="39"/>
      <c r="AW76" s="40"/>
      <c r="AX76" s="39"/>
      <c r="AY76" s="40"/>
      <c r="AZ76" s="39">
        <f>SUM(AR76:AX76)</f>
        <v>0</v>
      </c>
      <c r="BB76" s="39">
        <v>0</v>
      </c>
      <c r="BC76" s="40"/>
      <c r="BD76" s="39"/>
      <c r="BE76" s="40"/>
      <c r="BF76" s="39"/>
      <c r="BG76" s="40"/>
      <c r="BH76" s="39">
        <f>SUM(AZ76:BF76)</f>
        <v>0</v>
      </c>
    </row>
    <row r="77" spans="1:60" x14ac:dyDescent="0.25">
      <c r="B77" s="39">
        <f>SUM(B75:B76)</f>
        <v>0</v>
      </c>
      <c r="C77" s="40"/>
      <c r="D77" s="39">
        <f>SUM(D75:D76)</f>
        <v>0</v>
      </c>
      <c r="E77" s="40"/>
      <c r="F77" s="39">
        <f>SUM(F75:F76)</f>
        <v>0</v>
      </c>
      <c r="G77" s="40"/>
      <c r="H77" s="39">
        <f>SUM(H75:H76)</f>
        <v>0</v>
      </c>
      <c r="I77" s="40"/>
      <c r="J77" s="39">
        <f>SUM(J75:J76)</f>
        <v>0</v>
      </c>
      <c r="K77" s="40"/>
      <c r="L77" s="39">
        <f>SUM(L75:L76)</f>
        <v>0</v>
      </c>
      <c r="M77" s="40"/>
      <c r="N77" s="39">
        <f>SUM(N75:N76)</f>
        <v>0</v>
      </c>
      <c r="O77" s="40"/>
      <c r="P77" s="39">
        <f>SUM(P75:P76)</f>
        <v>400</v>
      </c>
      <c r="Q77" s="41"/>
      <c r="R77" s="39">
        <f>SUM(R75:R76)</f>
        <v>0</v>
      </c>
      <c r="S77" s="40"/>
      <c r="T77" s="39">
        <f>SUM(T75:T76)</f>
        <v>400</v>
      </c>
      <c r="U77" s="40"/>
      <c r="V77" s="39">
        <f>SUM(V75:V76)</f>
        <v>1350</v>
      </c>
      <c r="W77" s="40"/>
      <c r="X77" s="39">
        <f>SUM(X75:X76)</f>
        <v>0</v>
      </c>
      <c r="Y77" s="40"/>
      <c r="Z77" s="39">
        <f>SUM(Z75:Z76)</f>
        <v>0</v>
      </c>
      <c r="AA77" s="40"/>
      <c r="AB77" s="39">
        <f>SUM(AB75:AB76)</f>
        <v>1750</v>
      </c>
      <c r="AC77" s="40"/>
      <c r="AD77" s="39">
        <f>SUM(AD75:AD76)</f>
        <v>-400</v>
      </c>
      <c r="AE77" s="40"/>
      <c r="AF77" s="39">
        <f>SUM(AF75:AF76)</f>
        <v>0</v>
      </c>
      <c r="AG77" s="40"/>
      <c r="AH77" s="39">
        <f>SUM(AH75:AH76)</f>
        <v>0</v>
      </c>
      <c r="AI77" s="40"/>
      <c r="AJ77" s="39">
        <f>SUM(AJ75:AJ76)</f>
        <v>1350</v>
      </c>
      <c r="AK77" s="40"/>
      <c r="AL77" s="39">
        <f>SUM(AL75:AL76)</f>
        <v>-1350</v>
      </c>
      <c r="AM77" s="40"/>
      <c r="AN77" s="39">
        <f>SUM(AN75:AN76)</f>
        <v>0</v>
      </c>
      <c r="AO77" s="40"/>
      <c r="AP77" s="39">
        <f>SUM(AP75:AP76)</f>
        <v>0</v>
      </c>
      <c r="AQ77" s="40"/>
      <c r="AR77" s="39">
        <f>SUM(AR75:AR76)</f>
        <v>0</v>
      </c>
      <c r="AS77" s="40"/>
      <c r="AT77" s="39">
        <f>SUM(AT75:AT76)</f>
        <v>0</v>
      </c>
      <c r="AU77" s="40"/>
      <c r="AV77" s="39">
        <f>SUM(AV75:AV76)</f>
        <v>0</v>
      </c>
      <c r="AW77" s="40"/>
      <c r="AX77" s="39">
        <f>SUM(AX75:AX76)</f>
        <v>0</v>
      </c>
      <c r="AY77" s="40"/>
      <c r="AZ77" s="39">
        <f>SUM(AZ75:AZ76)</f>
        <v>0</v>
      </c>
      <c r="BB77" s="39">
        <f>SUM(BB75:BB76)</f>
        <v>0</v>
      </c>
      <c r="BC77" s="40"/>
      <c r="BD77" s="39">
        <f>SUM(BD75:BD76)</f>
        <v>0</v>
      </c>
      <c r="BE77" s="40"/>
      <c r="BF77" s="39">
        <f>SUM(BF75:BF76)</f>
        <v>0</v>
      </c>
      <c r="BG77" s="40"/>
      <c r="BH77" s="39">
        <f>SUM(BH75:BH76)</f>
        <v>0</v>
      </c>
    </row>
    <row r="78" spans="1:60" x14ac:dyDescent="0.25">
      <c r="B78" s="39"/>
      <c r="C78" s="40"/>
      <c r="D78" s="39"/>
      <c r="E78" s="40"/>
      <c r="F78" s="39"/>
      <c r="G78" s="40"/>
      <c r="H78" s="39"/>
      <c r="I78" s="40"/>
      <c r="J78" s="39"/>
      <c r="K78" s="40"/>
      <c r="L78" s="39"/>
      <c r="M78" s="40"/>
      <c r="N78" s="39"/>
      <c r="O78" s="40"/>
      <c r="P78" s="39"/>
      <c r="Q78" s="41"/>
      <c r="R78" s="39"/>
      <c r="S78" s="40"/>
      <c r="T78" s="39"/>
      <c r="U78" s="40"/>
      <c r="V78" s="39"/>
      <c r="W78" s="40"/>
      <c r="X78" s="39"/>
      <c r="Y78" s="40"/>
      <c r="Z78" s="39"/>
      <c r="AA78" s="40"/>
      <c r="AB78" s="39"/>
      <c r="AC78" s="40"/>
      <c r="AD78" s="39"/>
      <c r="AE78" s="40"/>
      <c r="AF78" s="39"/>
      <c r="AG78" s="40"/>
      <c r="AH78" s="39"/>
      <c r="AI78" s="40"/>
      <c r="AJ78" s="39"/>
      <c r="AK78" s="40"/>
      <c r="AL78" s="39"/>
      <c r="AM78" s="40"/>
      <c r="AN78" s="39"/>
      <c r="AO78" s="40"/>
      <c r="AP78" s="39"/>
      <c r="AQ78" s="40"/>
      <c r="AR78" s="39"/>
      <c r="AS78" s="40"/>
      <c r="AT78" s="39"/>
      <c r="AU78" s="40"/>
      <c r="AV78" s="39"/>
      <c r="AW78" s="40"/>
      <c r="AX78" s="39"/>
      <c r="AY78" s="40"/>
      <c r="AZ78" s="39"/>
      <c r="BB78" s="39"/>
      <c r="BC78" s="40"/>
      <c r="BD78" s="39"/>
      <c r="BE78" s="40"/>
      <c r="BF78" s="39"/>
      <c r="BG78" s="40"/>
      <c r="BH78" s="39"/>
    </row>
    <row r="79" spans="1:60" ht="18.75" thickBot="1" x14ac:dyDescent="0.3">
      <c r="A79" s="15" t="s">
        <v>82</v>
      </c>
      <c r="B79" s="39"/>
      <c r="C79" s="40"/>
      <c r="D79" s="39"/>
      <c r="E79" s="40"/>
      <c r="F79" s="39"/>
      <c r="G79" s="40"/>
      <c r="H79" s="39"/>
      <c r="I79" s="40"/>
      <c r="J79" s="39"/>
      <c r="K79" s="40"/>
      <c r="L79" s="39"/>
      <c r="M79" s="40"/>
      <c r="N79" s="46"/>
      <c r="O79" s="40"/>
      <c r="P79" s="46"/>
      <c r="Q79" s="41"/>
      <c r="R79" s="39"/>
      <c r="S79" s="40"/>
      <c r="T79" s="46"/>
      <c r="U79" s="40"/>
      <c r="V79" s="46">
        <f>'[3]People Forecast2'!G77</f>
        <v>870.24383333333333</v>
      </c>
      <c r="W79" s="40"/>
      <c r="X79" s="46"/>
      <c r="Y79" s="40"/>
      <c r="Z79" s="46"/>
      <c r="AA79" s="40"/>
      <c r="AB79" s="46">
        <f>SUM(T79:Z79)</f>
        <v>870.24383333333333</v>
      </c>
      <c r="AC79" s="40"/>
      <c r="AD79" s="46">
        <f>'[3]People Forecast2'!H82</f>
        <v>1541.0329179166665</v>
      </c>
      <c r="AE79" s="40"/>
      <c r="AF79" s="46"/>
      <c r="AG79" s="40"/>
      <c r="AH79" s="46"/>
      <c r="AI79" s="40"/>
      <c r="AJ79" s="46">
        <f>SUM(AB79:AH79)</f>
        <v>2411.27675125</v>
      </c>
      <c r="AK79" s="40"/>
      <c r="AL79" s="46">
        <f>'[3]People Forecast2'!I82</f>
        <v>3541.8325243375002</v>
      </c>
      <c r="AM79" s="40"/>
      <c r="AN79" s="46"/>
      <c r="AO79" s="40"/>
      <c r="AP79" s="46"/>
      <c r="AQ79" s="40"/>
      <c r="AR79" s="46">
        <f>SUM(AJ79:AP79)</f>
        <v>5953.1092755874997</v>
      </c>
      <c r="AS79" s="40"/>
      <c r="AT79" s="46">
        <f>'[3]People Forecast2'!J82</f>
        <v>7004.2652297098739</v>
      </c>
      <c r="AU79" s="40"/>
      <c r="AV79" s="46"/>
      <c r="AW79" s="40"/>
      <c r="AX79" s="46"/>
      <c r="AY79" s="40"/>
      <c r="AZ79" s="46">
        <f>SUM(AR79:AX79)</f>
        <v>12957.374505297374</v>
      </c>
      <c r="BB79" s="46">
        <f>'[3]People Forecast2'!K82</f>
        <v>8104.6700409470441</v>
      </c>
      <c r="BC79" s="40"/>
      <c r="BD79" s="46"/>
      <c r="BE79" s="40"/>
      <c r="BF79" s="46"/>
      <c r="BG79" s="40"/>
      <c r="BH79" s="46">
        <f>SUM(AZ79:BF79)</f>
        <v>21062.044546244419</v>
      </c>
    </row>
    <row r="80" spans="1:60" ht="13.5" customHeight="1" thickBot="1" x14ac:dyDescent="0.3">
      <c r="B80" s="58"/>
      <c r="C80" s="49"/>
      <c r="D80" s="58"/>
      <c r="E80" s="49"/>
      <c r="F80" s="58"/>
      <c r="G80" s="49"/>
      <c r="H80" s="59"/>
      <c r="I80" s="40"/>
      <c r="J80" s="58"/>
      <c r="K80" s="40"/>
      <c r="L80" s="58"/>
      <c r="M80" s="40"/>
      <c r="N80" s="58"/>
      <c r="O80" s="49"/>
      <c r="P80" s="58"/>
      <c r="Q80" s="49"/>
      <c r="R80" s="58"/>
      <c r="S80" s="40"/>
      <c r="T80" s="58"/>
      <c r="U80" s="40"/>
      <c r="V80" s="58"/>
      <c r="W80" s="40"/>
      <c r="X80" s="58"/>
      <c r="Y80" s="40"/>
      <c r="Z80" s="58"/>
      <c r="AA80" s="40"/>
      <c r="AB80" s="58"/>
      <c r="AC80" s="40"/>
      <c r="AD80" s="58"/>
      <c r="AE80" s="40"/>
      <c r="AF80" s="58"/>
      <c r="AG80" s="40"/>
      <c r="AH80" s="58"/>
      <c r="AI80" s="40"/>
      <c r="AJ80" s="58"/>
      <c r="AK80" s="40"/>
      <c r="AL80" s="58"/>
      <c r="AM80" s="40"/>
      <c r="AN80" s="58"/>
      <c r="AO80" s="40"/>
      <c r="AP80" s="58"/>
      <c r="AQ80" s="40"/>
      <c r="AR80" s="58"/>
      <c r="AS80" s="40"/>
      <c r="AT80" s="58"/>
      <c r="AU80" s="40"/>
      <c r="AV80" s="58"/>
      <c r="AW80" s="40"/>
      <c r="AX80" s="58"/>
      <c r="AY80" s="40"/>
      <c r="AZ80" s="58"/>
      <c r="BB80" s="58"/>
      <c r="BC80" s="40"/>
      <c r="BD80" s="58"/>
      <c r="BE80" s="40"/>
      <c r="BF80" s="58"/>
      <c r="BG80" s="40"/>
      <c r="BH80" s="58"/>
    </row>
    <row r="81" spans="1:60" ht="18.75" thickBot="1" x14ac:dyDescent="0.3">
      <c r="A81" s="60" t="s">
        <v>83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61">
        <f>N72+N77+N79</f>
        <v>395010.53672790033</v>
      </c>
      <c r="O81" s="40"/>
      <c r="P81" s="61">
        <f>P72+P77+P79</f>
        <v>400</v>
      </c>
      <c r="Q81" s="40"/>
      <c r="R81" s="48"/>
      <c r="S81" s="40"/>
      <c r="T81" s="61">
        <f>T72+T77+T79</f>
        <v>395410.53672790033</v>
      </c>
      <c r="U81" s="40"/>
      <c r="V81" s="61">
        <f>V72+V77+V79</f>
        <v>20886.57716666667</v>
      </c>
      <c r="W81" s="40"/>
      <c r="X81" s="61">
        <f>X72+X77+X79</f>
        <v>-24189.85</v>
      </c>
      <c r="Y81" s="40"/>
      <c r="Z81" s="61">
        <f>Z72+Z77+Z79</f>
        <v>6882.9168593608219</v>
      </c>
      <c r="AA81" s="40"/>
      <c r="AB81" s="61">
        <f>AB72+AB77+AB79</f>
        <v>398990.18075392779</v>
      </c>
      <c r="AC81" s="40"/>
      <c r="AD81" s="61">
        <f>AD72+AD77+AD79</f>
        <v>17438.699584583333</v>
      </c>
      <c r="AE81" s="40"/>
      <c r="AF81" s="61">
        <f>AF72+AF77+AF79</f>
        <v>-24968.618333333332</v>
      </c>
      <c r="AG81" s="40"/>
      <c r="AH81" s="61">
        <f>AH72+AH77+AH79</f>
        <v>6871.6684242896135</v>
      </c>
      <c r="AI81" s="40"/>
      <c r="AJ81" s="61">
        <f>AJ72+AJ77+AJ79</f>
        <v>398331.93042946747</v>
      </c>
      <c r="AK81" s="40"/>
      <c r="AL81" s="61">
        <f>AL72+AL77+AL79</f>
        <v>7191.8325243375002</v>
      </c>
      <c r="AM81" s="40"/>
      <c r="AN81" s="61">
        <f>AN72+AN77+AN79</f>
        <v>-24741.360500000003</v>
      </c>
      <c r="AO81" s="40"/>
      <c r="AP81" s="61">
        <f>AP72+AP77+AP79</f>
        <v>7210.8807421573565</v>
      </c>
      <c r="AQ81" s="40"/>
      <c r="AR81" s="61">
        <f>AR72+AR77+AR79</f>
        <v>387993.28319596231</v>
      </c>
      <c r="AS81" s="40"/>
      <c r="AT81" s="61">
        <f>AT72+AT77+AT79</f>
        <v>10804.265229709874</v>
      </c>
      <c r="AU81" s="40"/>
      <c r="AV81" s="61">
        <f>AV72+AV77+AV79</f>
        <v>-20798.052100000001</v>
      </c>
      <c r="AW81" s="40"/>
      <c r="AX81" s="61">
        <f>AX72+AX77+AX79</f>
        <v>7185.1594379369808</v>
      </c>
      <c r="AY81" s="40"/>
      <c r="AZ81" s="61">
        <f>AZ72+AZ77+AZ79</f>
        <v>385184.65576360916</v>
      </c>
      <c r="BB81" s="61">
        <f>BB72+BB77+BB79</f>
        <v>11904.670040947043</v>
      </c>
      <c r="BC81" s="40"/>
      <c r="BD81" s="61">
        <f>BD72+BD77+BD79</f>
        <v>-17380.336487750003</v>
      </c>
      <c r="BE81" s="40"/>
      <c r="BF81" s="61">
        <f>BF72+BF77+BF79</f>
        <v>7296.748236689964</v>
      </c>
      <c r="BG81" s="40"/>
      <c r="BH81" s="61">
        <f>BH72+BH77+BH79</f>
        <v>387005.73755349615</v>
      </c>
    </row>
    <row r="82" spans="1:60" ht="18.75" thickTop="1" x14ac:dyDescent="0.25">
      <c r="B82" s="39"/>
      <c r="C82" s="40"/>
      <c r="D82" s="39"/>
      <c r="E82" s="40"/>
      <c r="F82" s="39"/>
      <c r="G82" s="40"/>
      <c r="H82" s="39"/>
      <c r="I82" s="40"/>
      <c r="J82" s="39"/>
      <c r="K82" s="40"/>
      <c r="L82" s="39"/>
      <c r="M82" s="40"/>
      <c r="N82" s="39"/>
      <c r="O82" s="40"/>
      <c r="P82" s="39"/>
      <c r="Q82" s="41"/>
      <c r="R82" s="39"/>
      <c r="S82" s="40"/>
      <c r="T82" s="39"/>
      <c r="U82" s="40"/>
      <c r="V82" s="39"/>
      <c r="W82" s="41"/>
      <c r="X82" s="39"/>
      <c r="Y82" s="41"/>
      <c r="Z82" s="39"/>
      <c r="AA82" s="40"/>
      <c r="AB82" s="39"/>
      <c r="AC82" s="40"/>
      <c r="AD82" s="39"/>
      <c r="AE82" s="41"/>
      <c r="AF82" s="39"/>
      <c r="AG82" s="41"/>
      <c r="AH82" s="39"/>
      <c r="AI82" s="40"/>
      <c r="AJ82" s="39"/>
      <c r="AK82" s="40"/>
      <c r="AL82" s="39"/>
      <c r="AM82" s="41"/>
      <c r="AN82" s="39"/>
      <c r="AO82" s="41"/>
      <c r="AP82" s="39"/>
      <c r="AQ82" s="40"/>
      <c r="AR82" s="39"/>
      <c r="AT82" s="39"/>
      <c r="AU82" s="41"/>
      <c r="AV82" s="39"/>
      <c r="AW82" s="41"/>
      <c r="AX82" s="39"/>
      <c r="AY82" s="40"/>
      <c r="AZ82" s="39"/>
      <c r="BB82" s="39"/>
      <c r="BC82" s="41"/>
      <c r="BD82" s="39"/>
      <c r="BE82" s="41"/>
      <c r="BF82" s="39"/>
      <c r="BG82" s="40"/>
      <c r="BH82" s="39"/>
    </row>
    <row r="83" spans="1:60" x14ac:dyDescent="0.25">
      <c r="A83" s="15" t="s">
        <v>84</v>
      </c>
      <c r="B83" s="39">
        <f>'[3]SUMMARY BUDGET MOVES '!I75+'[3]SUMMARY BUDGET MOVES '!R75+'[3]SUMMARY BUDGET MOVES '!S75</f>
        <v>1688.8719999999998</v>
      </c>
      <c r="C83" s="40"/>
      <c r="D83" s="39">
        <f>SUM('[3]SUMMARY BUDGET MOVES '!J75)</f>
        <v>0</v>
      </c>
      <c r="E83" s="40"/>
      <c r="F83" s="39">
        <f>B83+D83</f>
        <v>1688.8719999999998</v>
      </c>
      <c r="G83" s="40"/>
      <c r="H83" s="39">
        <f>SUM('[3]SUMMARY BUDGET MOVES '!L75:N75)</f>
        <v>0</v>
      </c>
      <c r="I83" s="40"/>
      <c r="J83" s="39">
        <f>F83+H83</f>
        <v>1688.8719999999998</v>
      </c>
      <c r="K83" s="40"/>
      <c r="L83" s="39">
        <f>SUM('[3]SUMMARY BUDGET MOVES '!P75)</f>
        <v>0</v>
      </c>
      <c r="M83" s="40"/>
      <c r="N83" s="39">
        <f>J83+L83</f>
        <v>1688.8719999999998</v>
      </c>
      <c r="O83" s="40"/>
      <c r="P83" s="39">
        <f>SUM('[3]SUMMARY BUDGET MOVES '!T75:Y75)</f>
        <v>0</v>
      </c>
      <c r="Q83" s="41"/>
      <c r="R83" s="39">
        <f>SUM('[3]SUMMARY BUDGET MOVES '!Z75:AB75)</f>
        <v>0</v>
      </c>
      <c r="S83" s="40"/>
      <c r="T83" s="39">
        <f>SUM(N83:R83)</f>
        <v>1688.8719999999998</v>
      </c>
      <c r="U83" s="40"/>
      <c r="V83" s="39">
        <f>SUM('[3]SUMMARY BUDGET MOVES '!AD73:AF73)+SUM('[3]SUMMARY BUDGET MOVES '!AL73:AO73)+'[3]SUMMARY BUDGET MOVES '!AJ73</f>
        <v>0</v>
      </c>
      <c r="W83" s="41"/>
      <c r="X83" s="39">
        <f>SUM('[3]SUMMARY BUDGET MOVES '!AP75:AR75)+'[3]SUMMARY BUDGET MOVES '!AJ74+'[3]SUMMARY BUDGET MOVES '!AK75</f>
        <v>-77</v>
      </c>
      <c r="Y83" s="41"/>
      <c r="Z83" s="39">
        <v>40</v>
      </c>
      <c r="AA83" s="40"/>
      <c r="AB83" s="39">
        <f>SUM(T83:Z83)</f>
        <v>1651.8719999999998</v>
      </c>
      <c r="AC83" s="40"/>
      <c r="AD83" s="39">
        <v>30</v>
      </c>
      <c r="AE83" s="41"/>
      <c r="AF83" s="39">
        <v>0</v>
      </c>
      <c r="AG83" s="41"/>
      <c r="AH83" s="39">
        <v>20</v>
      </c>
      <c r="AI83" s="40"/>
      <c r="AJ83" s="39">
        <f>SUM(AB83:AH83)</f>
        <v>1701.8719999999998</v>
      </c>
      <c r="AK83" s="40"/>
      <c r="AL83" s="39">
        <v>0</v>
      </c>
      <c r="AM83" s="41"/>
      <c r="AN83" s="39">
        <v>0</v>
      </c>
      <c r="AO83" s="41"/>
      <c r="AP83" s="39">
        <v>33</v>
      </c>
      <c r="AQ83" s="40"/>
      <c r="AR83" s="39">
        <f>SUM(AJ83:AP83)</f>
        <v>1734.8719999999998</v>
      </c>
      <c r="AT83" s="39">
        <v>0</v>
      </c>
      <c r="AU83" s="41"/>
      <c r="AV83" s="39">
        <v>0</v>
      </c>
      <c r="AW83" s="41"/>
      <c r="AX83" s="39">
        <v>33</v>
      </c>
      <c r="AY83" s="40"/>
      <c r="AZ83" s="39">
        <f>SUM(AR83:AX83)</f>
        <v>1767.8719999999998</v>
      </c>
      <c r="BB83" s="39">
        <v>0</v>
      </c>
      <c r="BC83" s="41"/>
      <c r="BD83" s="39">
        <v>0</v>
      </c>
      <c r="BE83" s="41"/>
      <c r="BF83" s="39">
        <v>33</v>
      </c>
      <c r="BG83" s="40"/>
      <c r="BH83" s="39">
        <f>SUM(AZ83:BF83)</f>
        <v>1800.8719999999998</v>
      </c>
    </row>
    <row r="84" spans="1:60" x14ac:dyDescent="0.25">
      <c r="A84" s="15" t="s">
        <v>85</v>
      </c>
      <c r="B84" s="39">
        <f>'[3]SUMMARY BUDGET MOVES '!I76+'[3]SUMMARY BUDGET MOVES '!R76+'[3]SUMMARY BUDGET MOVES '!S76</f>
        <v>5292</v>
      </c>
      <c r="C84" s="40"/>
      <c r="D84" s="39">
        <f>SUM('[3]SUMMARY BUDGET MOVES '!J76)</f>
        <v>0</v>
      </c>
      <c r="E84" s="40"/>
      <c r="F84" s="39">
        <f>B84+D84</f>
        <v>5292</v>
      </c>
      <c r="G84" s="40"/>
      <c r="H84" s="39">
        <f>SUM('[3]SUMMARY BUDGET MOVES '!L76:N76)</f>
        <v>0</v>
      </c>
      <c r="I84" s="40"/>
      <c r="J84" s="64">
        <f>F84+H84</f>
        <v>5292</v>
      </c>
      <c r="K84" s="40"/>
      <c r="L84" s="39">
        <f>SUM('[3]SUMMARY BUDGET MOVES '!P76)</f>
        <v>0</v>
      </c>
      <c r="M84" s="40"/>
      <c r="N84" s="39">
        <f>J84+L84</f>
        <v>5292</v>
      </c>
      <c r="O84" s="40"/>
      <c r="P84" s="39">
        <v>1098</v>
      </c>
      <c r="Q84" s="41"/>
      <c r="R84" s="39">
        <f>SUM('[3]SUMMARY BUDGET MOVES '!Z76:AB76)</f>
        <v>0</v>
      </c>
      <c r="S84" s="40"/>
      <c r="T84" s="39">
        <f>SUM(N84:R84)</f>
        <v>6390</v>
      </c>
      <c r="U84" s="40"/>
      <c r="V84" s="39">
        <f>SUM('[3]SUMMARY BUDGET MOVES '!AD75:AF75)+SUM('[3]SUMMARY BUDGET MOVES '!AL75:AO75)+'[3]SUMMARY BUDGET MOVES '!AJ75</f>
        <v>0</v>
      </c>
      <c r="W84" s="41"/>
      <c r="X84" s="39">
        <f>SUM('[3]SUMMARY BUDGET MOVES '!AP76:AR76)+'[3]SUMMARY BUDGET MOVES '!AJ75+'[3]SUMMARY BUDGET MOVES '!AK76</f>
        <v>0</v>
      </c>
      <c r="Y84" s="41"/>
      <c r="Z84" s="39">
        <f>'[3]SUMMARY BUDGET MOVES '!AT76+'[3]SUMMARY BUDGET MOVES '!AI76</f>
        <v>0</v>
      </c>
      <c r="AA84" s="40"/>
      <c r="AB84" s="39">
        <f>SUM(T84:Z84)</f>
        <v>6390</v>
      </c>
      <c r="AC84" s="40"/>
      <c r="AD84" s="39">
        <v>-1098</v>
      </c>
      <c r="AE84" s="41"/>
      <c r="AF84" s="39">
        <v>0</v>
      </c>
      <c r="AG84" s="41"/>
      <c r="AH84" s="39">
        <v>0</v>
      </c>
      <c r="AI84" s="40"/>
      <c r="AJ84" s="39">
        <f>SUM(AB84:AH84)</f>
        <v>5292</v>
      </c>
      <c r="AK84" s="40"/>
      <c r="AL84" s="39">
        <v>0</v>
      </c>
      <c r="AM84" s="41"/>
      <c r="AN84" s="39">
        <v>0</v>
      </c>
      <c r="AO84" s="41"/>
      <c r="AP84" s="39">
        <v>0</v>
      </c>
      <c r="AQ84" s="40"/>
      <c r="AR84" s="39">
        <f>SUM(AJ84:AP84)</f>
        <v>5292</v>
      </c>
      <c r="AT84" s="39">
        <v>0</v>
      </c>
      <c r="AU84" s="41"/>
      <c r="AV84" s="39">
        <v>0</v>
      </c>
      <c r="AW84" s="41"/>
      <c r="AX84" s="39">
        <v>0</v>
      </c>
      <c r="AY84" s="40"/>
      <c r="AZ84" s="39">
        <f>SUM(AR84:AX84)</f>
        <v>5292</v>
      </c>
      <c r="BB84" s="39">
        <v>0</v>
      </c>
      <c r="BC84" s="41"/>
      <c r="BD84" s="39">
        <v>0</v>
      </c>
      <c r="BE84" s="41"/>
      <c r="BF84" s="39">
        <v>0</v>
      </c>
      <c r="BG84" s="40"/>
      <c r="BH84" s="39">
        <f>SUM(AZ84:BF84)</f>
        <v>5292</v>
      </c>
    </row>
    <row r="85" spans="1:60" x14ac:dyDescent="0.25">
      <c r="A85" s="15" t="s">
        <v>86</v>
      </c>
      <c r="B85" s="39">
        <f>'[3]SUMMARY BUDGET MOVES '!I73+'[3]SUMMARY BUDGET MOVES '!R73+'[3]SUMMARY BUDGET MOVES '!S73</f>
        <v>0</v>
      </c>
      <c r="C85" s="40"/>
      <c r="D85" s="39">
        <f>SUM('[3]SUMMARY BUDGET MOVES '!J73)</f>
        <v>0</v>
      </c>
      <c r="E85" s="40"/>
      <c r="F85" s="39">
        <f>B85+D85</f>
        <v>0</v>
      </c>
      <c r="G85" s="40"/>
      <c r="H85" s="39">
        <f>SUM('[3]SUMMARY BUDGET MOVES '!L73:N73)</f>
        <v>1166.625</v>
      </c>
      <c r="I85" s="40"/>
      <c r="J85" s="39">
        <f>F85+H85</f>
        <v>1166.625</v>
      </c>
      <c r="K85" s="40"/>
      <c r="L85" s="39">
        <f>SUM('[3]SUMMARY BUDGET MOVES '!P73)</f>
        <v>0</v>
      </c>
      <c r="M85" s="40"/>
      <c r="N85" s="39">
        <f>J85+L85</f>
        <v>1166.625</v>
      </c>
      <c r="O85" s="40"/>
      <c r="P85" s="39">
        <f>SUM('[3]SUMMARY BUDGET MOVES '!T73:Y73)</f>
        <v>0</v>
      </c>
      <c r="Q85" s="41"/>
      <c r="R85" s="39">
        <f>SUM('[3]SUMMARY BUDGET MOVES '!Z73:AB73)</f>
        <v>0</v>
      </c>
      <c r="S85" s="40"/>
      <c r="T85" s="39">
        <f>SUM(N85:R85)</f>
        <v>1166.625</v>
      </c>
      <c r="U85" s="40"/>
      <c r="V85" s="39">
        <f>SUM('[3]SUMMARY BUDGET MOVES '!AD77:AF77)+SUM('[3]SUMMARY BUDGET MOVES '!AL77:AO77)+'[3]SUMMARY BUDGET MOVES '!AJ77</f>
        <v>0</v>
      </c>
      <c r="W85" s="41"/>
      <c r="X85" s="39">
        <f>SUM('[3]SUMMARY BUDGET MOVES '!AP73:AR73)+'[3]SUMMARY BUDGET MOVES '!AJ77+'[3]SUMMARY BUDGET MOVES '!AK73</f>
        <v>0</v>
      </c>
      <c r="Y85" s="41"/>
      <c r="Z85" s="39">
        <v>18</v>
      </c>
      <c r="AA85" s="40"/>
      <c r="AB85" s="39">
        <f>SUM(T85:Z85)</f>
        <v>1184.625</v>
      </c>
      <c r="AC85" s="40"/>
      <c r="AD85" s="39">
        <v>0</v>
      </c>
      <c r="AE85" s="41"/>
      <c r="AF85" s="39">
        <v>0</v>
      </c>
      <c r="AG85" s="41"/>
      <c r="AH85" s="39">
        <v>7</v>
      </c>
      <c r="AI85" s="40"/>
      <c r="AJ85" s="39">
        <f>SUM(AB85:AH85)</f>
        <v>1191.625</v>
      </c>
      <c r="AK85" s="40"/>
      <c r="AL85" s="39">
        <v>0</v>
      </c>
      <c r="AM85" s="41"/>
      <c r="AN85" s="39">
        <v>0</v>
      </c>
      <c r="AO85" s="41"/>
      <c r="AP85" s="39">
        <f>AJ85*1%</f>
        <v>11.91625</v>
      </c>
      <c r="AQ85" s="40"/>
      <c r="AR85" s="39">
        <f>SUM(AJ85:AP85)</f>
        <v>1203.54125</v>
      </c>
      <c r="AT85" s="39">
        <v>0</v>
      </c>
      <c r="AU85" s="41"/>
      <c r="AV85" s="39">
        <v>0</v>
      </c>
      <c r="AW85" s="41"/>
      <c r="AX85" s="39">
        <f>AR85*1%</f>
        <v>12.0354125</v>
      </c>
      <c r="AY85" s="40"/>
      <c r="AZ85" s="39">
        <f>SUM(AR85:AX85)</f>
        <v>1215.5766624999999</v>
      </c>
      <c r="BB85" s="39">
        <v>0</v>
      </c>
      <c r="BC85" s="41"/>
      <c r="BD85" s="39">
        <v>0</v>
      </c>
      <c r="BE85" s="41"/>
      <c r="BF85" s="39">
        <f>AZ85*1%</f>
        <v>12.155766624999998</v>
      </c>
      <c r="BG85" s="40"/>
      <c r="BH85" s="39">
        <f>SUM(AZ85:BF85)</f>
        <v>1227.732429125</v>
      </c>
    </row>
    <row r="86" spans="1:60" x14ac:dyDescent="0.25">
      <c r="A86" s="15" t="s">
        <v>87</v>
      </c>
      <c r="B86" s="39">
        <f>'[3]SUMMARY BUDGET MOVES '!I74+'[3]SUMMARY BUDGET MOVES '!R74+'[3]SUMMARY BUDGET MOVES '!S74</f>
        <v>5.99999999999552E-2</v>
      </c>
      <c r="C86" s="40"/>
      <c r="D86" s="39">
        <f>SUM('[3]SUMMARY BUDGET MOVES '!J74)</f>
        <v>0</v>
      </c>
      <c r="E86" s="40"/>
      <c r="F86" s="39">
        <f>B86+D86</f>
        <v>5.99999999999552E-2</v>
      </c>
      <c r="G86" s="40"/>
      <c r="H86" s="39">
        <f>SUM('[3]SUMMARY BUDGET MOVES '!L74:N74)</f>
        <v>0</v>
      </c>
      <c r="I86" s="40"/>
      <c r="J86" s="39">
        <f>F86+H86</f>
        <v>5.99999999999552E-2</v>
      </c>
      <c r="K86" s="40"/>
      <c r="L86" s="39">
        <f>SUM('[3]SUMMARY BUDGET MOVES '!P74)</f>
        <v>-40</v>
      </c>
      <c r="M86" s="40"/>
      <c r="N86" s="39">
        <f>J86+L86</f>
        <v>-39.940000000000047</v>
      </c>
      <c r="O86" s="40"/>
      <c r="P86" s="39">
        <f>SUM('[3]SUMMARY BUDGET MOVES '!T74:Y74)</f>
        <v>0</v>
      </c>
      <c r="Q86" s="41"/>
      <c r="R86" s="39">
        <f>SUM('[3]SUMMARY BUDGET MOVES '!Z74:AB74)</f>
        <v>0</v>
      </c>
      <c r="S86" s="40"/>
      <c r="T86" s="39">
        <f>SUM(N86:R86)</f>
        <v>-39.940000000000047</v>
      </c>
      <c r="U86" s="40"/>
      <c r="V86" s="39">
        <f>SUM('[3]SUMMARY BUDGET MOVES '!AD78:AF78)+SUM('[3]SUMMARY BUDGET MOVES '!AL78:AO78)+'[3]SUMMARY BUDGET MOVES '!AJ78</f>
        <v>0</v>
      </c>
      <c r="W86" s="41"/>
      <c r="X86" s="39">
        <f>SUM('[3]SUMMARY BUDGET MOVES '!AP74:AR74)+'[3]SUMMARY BUDGET MOVES '!AJ78+'[3]SUMMARY BUDGET MOVES '!AK74</f>
        <v>0</v>
      </c>
      <c r="Y86" s="41"/>
      <c r="Z86" s="39">
        <f>'[3]SUMMARY BUDGET MOVES '!AT74+'[3]SUMMARY BUDGET MOVES '!AI74</f>
        <v>0</v>
      </c>
      <c r="AA86" s="40"/>
      <c r="AB86" s="39">
        <f>SUM(T86:Z86)</f>
        <v>-39.940000000000047</v>
      </c>
      <c r="AC86" s="40"/>
      <c r="AD86" s="39">
        <v>0</v>
      </c>
      <c r="AE86" s="41"/>
      <c r="AF86" s="39">
        <v>0</v>
      </c>
      <c r="AG86" s="41"/>
      <c r="AH86" s="39">
        <v>0</v>
      </c>
      <c r="AI86" s="40"/>
      <c r="AJ86" s="39">
        <f>SUM(AB86:AH86)</f>
        <v>-39.940000000000047</v>
      </c>
      <c r="AK86" s="40"/>
      <c r="AL86" s="39">
        <v>0</v>
      </c>
      <c r="AM86" s="41"/>
      <c r="AN86" s="39">
        <v>0</v>
      </c>
      <c r="AO86" s="41"/>
      <c r="AP86" s="39">
        <v>0</v>
      </c>
      <c r="AQ86" s="40"/>
      <c r="AR86" s="39">
        <f>SUM(AJ86:AP86)</f>
        <v>-39.940000000000047</v>
      </c>
      <c r="AT86" s="39">
        <v>0</v>
      </c>
      <c r="AU86" s="41"/>
      <c r="AV86" s="39">
        <v>0</v>
      </c>
      <c r="AW86" s="41"/>
      <c r="AX86" s="39">
        <v>0</v>
      </c>
      <c r="AY86" s="40"/>
      <c r="AZ86" s="39">
        <f>SUM(AR86:AX86)</f>
        <v>-39.940000000000047</v>
      </c>
      <c r="BB86" s="39">
        <v>0</v>
      </c>
      <c r="BC86" s="41"/>
      <c r="BD86" s="39">
        <v>0</v>
      </c>
      <c r="BE86" s="41"/>
      <c r="BF86" s="39">
        <v>0</v>
      </c>
      <c r="BG86" s="40"/>
      <c r="BH86" s="39">
        <f>SUM(AZ86:BF86)</f>
        <v>-39.940000000000047</v>
      </c>
    </row>
    <row r="87" spans="1:60" ht="18.75" thickBot="1" x14ac:dyDescent="0.3">
      <c r="A87" s="65" t="s">
        <v>88</v>
      </c>
      <c r="B87" s="39">
        <f>SUM(B83:B86)</f>
        <v>6980.9319999999998</v>
      </c>
      <c r="C87" s="40"/>
      <c r="D87" s="39">
        <f>SUM(D83:D86)</f>
        <v>0</v>
      </c>
      <c r="E87" s="40" t="s">
        <v>0</v>
      </c>
      <c r="F87" s="39">
        <f>SUM(F83:F86)</f>
        <v>6980.9319999999998</v>
      </c>
      <c r="G87" s="40"/>
      <c r="H87" s="39">
        <f>SUM(H83:H86)</f>
        <v>1166.625</v>
      </c>
      <c r="I87" s="40"/>
      <c r="J87" s="39">
        <f>SUM(J83:J86)</f>
        <v>8147.5569999999998</v>
      </c>
      <c r="K87" s="40"/>
      <c r="L87" s="39">
        <f>SUM(L83:L86)</f>
        <v>-40</v>
      </c>
      <c r="M87" s="40" t="s">
        <v>0</v>
      </c>
      <c r="N87" s="66">
        <f>SUM(N83:N86)</f>
        <v>8107.5569999999998</v>
      </c>
      <c r="O87" s="40"/>
      <c r="P87" s="66">
        <f>SUM(P83:P86)</f>
        <v>1098</v>
      </c>
      <c r="Q87" s="41" t="s">
        <v>0</v>
      </c>
      <c r="R87" s="39">
        <f>SUM(R83:R86)</f>
        <v>0</v>
      </c>
      <c r="S87" s="40"/>
      <c r="T87" s="66">
        <f>SUM(T83:T86)</f>
        <v>9205.5569999999989</v>
      </c>
      <c r="U87" s="40"/>
      <c r="V87" s="66">
        <f>SUM(V83:V86)</f>
        <v>0</v>
      </c>
      <c r="W87" s="41"/>
      <c r="X87" s="66">
        <f>SUM(X83:X86)</f>
        <v>-77</v>
      </c>
      <c r="Y87" s="41"/>
      <c r="Z87" s="66">
        <f>SUM(Z83:Z86)</f>
        <v>58</v>
      </c>
      <c r="AA87" s="40" t="s">
        <v>0</v>
      </c>
      <c r="AB87" s="66">
        <f>SUM(AB83:AB86)</f>
        <v>9186.5569999999989</v>
      </c>
      <c r="AC87" s="40"/>
      <c r="AD87" s="66">
        <f>SUM(AD83:AD86)</f>
        <v>-1068</v>
      </c>
      <c r="AE87" s="41"/>
      <c r="AF87" s="66">
        <f>SUM(AF83:AF86)</f>
        <v>0</v>
      </c>
      <c r="AG87" s="41"/>
      <c r="AH87" s="66">
        <f>SUM(AH83:AH86)</f>
        <v>27</v>
      </c>
      <c r="AI87" s="40"/>
      <c r="AJ87" s="66">
        <f>SUM(AJ83:AJ86)</f>
        <v>8145.5569999999998</v>
      </c>
      <c r="AK87" s="40"/>
      <c r="AL87" s="66">
        <f>SUM(AL83:AL86)</f>
        <v>0</v>
      </c>
      <c r="AM87" s="41"/>
      <c r="AN87" s="66">
        <f>SUM(AN83:AN86)</f>
        <v>0</v>
      </c>
      <c r="AO87" s="41"/>
      <c r="AP87" s="66">
        <f>SUM(AP83:AP86)</f>
        <v>44.916249999999998</v>
      </c>
      <c r="AQ87" s="40"/>
      <c r="AR87" s="66">
        <f>SUM(AR83:AR86)</f>
        <v>8190.47325</v>
      </c>
      <c r="AT87" s="66">
        <f>SUM(AT83:AT86)</f>
        <v>0</v>
      </c>
      <c r="AU87" s="41"/>
      <c r="AV87" s="66">
        <f>SUM(AV83:AV86)</f>
        <v>0</v>
      </c>
      <c r="AW87" s="41"/>
      <c r="AX87" s="66">
        <f>SUM(AX83:AX86)</f>
        <v>45.0354125</v>
      </c>
      <c r="AY87" s="40"/>
      <c r="AZ87" s="66">
        <f>SUM(AZ83:AZ86)</f>
        <v>8235.5086624999985</v>
      </c>
      <c r="BB87" s="66">
        <f>SUM(BB83:BB86)</f>
        <v>0</v>
      </c>
      <c r="BC87" s="41"/>
      <c r="BD87" s="66">
        <f>SUM(BD83:BD86)</f>
        <v>0</v>
      </c>
      <c r="BE87" s="41"/>
      <c r="BF87" s="66">
        <f>SUM(BF83:BF86)</f>
        <v>45.155766624999998</v>
      </c>
      <c r="BG87" s="40"/>
      <c r="BH87" s="66">
        <f>SUM(BH83:BH86)</f>
        <v>8280.6644291249995</v>
      </c>
    </row>
    <row r="88" spans="1:60" ht="18.75" thickTop="1" x14ac:dyDescent="0.25">
      <c r="B88" s="39"/>
      <c r="C88" s="40"/>
      <c r="D88" s="39"/>
      <c r="E88" s="40"/>
      <c r="F88" s="39"/>
      <c r="G88" s="40"/>
      <c r="H88" s="39"/>
      <c r="I88" s="40"/>
      <c r="J88" s="39"/>
      <c r="K88" s="40"/>
      <c r="L88" s="39"/>
      <c r="M88" s="40"/>
      <c r="N88" s="39"/>
      <c r="O88" s="40"/>
      <c r="P88" s="39"/>
      <c r="Q88" s="41"/>
      <c r="R88" s="39"/>
      <c r="S88" s="40"/>
      <c r="T88" s="39"/>
      <c r="U88" s="40"/>
      <c r="V88" s="39"/>
      <c r="W88" s="41"/>
      <c r="X88" s="39"/>
      <c r="Y88" s="41"/>
      <c r="Z88" s="39"/>
      <c r="AA88" s="40"/>
      <c r="AB88" s="39"/>
      <c r="AC88" s="40"/>
      <c r="AD88" s="39"/>
      <c r="AE88" s="41"/>
      <c r="AF88" s="39"/>
      <c r="AG88" s="41"/>
      <c r="AH88" s="39"/>
      <c r="AI88" s="40"/>
      <c r="AJ88" s="39"/>
      <c r="AK88" s="40"/>
      <c r="AL88" s="39"/>
      <c r="AM88" s="41"/>
      <c r="AN88" s="39"/>
      <c r="AO88" s="41"/>
      <c r="AP88" s="39"/>
      <c r="AQ88" s="40"/>
      <c r="AR88" s="39"/>
      <c r="AT88" s="39"/>
      <c r="AU88" s="41"/>
      <c r="AV88" s="39"/>
      <c r="AW88" s="41"/>
      <c r="AX88" s="39"/>
      <c r="AY88" s="40"/>
      <c r="AZ88" s="39"/>
      <c r="BB88" s="39"/>
      <c r="BC88" s="41"/>
      <c r="BD88" s="39"/>
      <c r="BE88" s="41"/>
      <c r="BF88" s="39"/>
      <c r="BG88" s="40"/>
      <c r="BH88" s="39"/>
    </row>
    <row r="89" spans="1:60" ht="18.75" thickBot="1" x14ac:dyDescent="0.3">
      <c r="B89" s="39"/>
      <c r="C89" s="40"/>
      <c r="D89" s="39"/>
      <c r="E89" s="40"/>
      <c r="F89" s="39"/>
      <c r="G89" s="40"/>
      <c r="H89" s="39"/>
      <c r="I89" s="40"/>
      <c r="J89" s="39"/>
      <c r="K89" s="40"/>
      <c r="L89" s="39"/>
      <c r="M89" s="40"/>
      <c r="N89" s="48"/>
      <c r="O89" s="40"/>
      <c r="P89" s="48"/>
      <c r="Q89" s="41"/>
      <c r="R89" s="39"/>
      <c r="S89" s="40"/>
      <c r="T89" s="48"/>
      <c r="U89" s="40"/>
      <c r="V89" s="48"/>
      <c r="W89" s="41"/>
      <c r="X89" s="48"/>
      <c r="Y89" s="41"/>
      <c r="Z89" s="48"/>
      <c r="AA89" s="40"/>
      <c r="AB89" s="48"/>
      <c r="AC89" s="40"/>
      <c r="AD89" s="48"/>
      <c r="AE89" s="41"/>
      <c r="AF89" s="48"/>
      <c r="AG89" s="41"/>
      <c r="AH89" s="48"/>
      <c r="AI89" s="40"/>
      <c r="AJ89" s="48"/>
      <c r="AK89" s="40"/>
      <c r="AL89" s="48"/>
      <c r="AM89" s="41"/>
      <c r="AN89" s="48"/>
      <c r="AO89" s="41"/>
      <c r="AP89" s="48"/>
      <c r="AQ89" s="40"/>
      <c r="AR89" s="48"/>
      <c r="AT89" s="48"/>
      <c r="AU89" s="41"/>
      <c r="AV89" s="48"/>
      <c r="AW89" s="41"/>
      <c r="AX89" s="48"/>
      <c r="AY89" s="40"/>
      <c r="AZ89" s="48"/>
      <c r="BB89" s="48"/>
      <c r="BC89" s="41"/>
      <c r="BD89" s="48"/>
      <c r="BE89" s="41"/>
      <c r="BF89" s="48"/>
      <c r="BG89" s="40"/>
      <c r="BH89" s="48"/>
    </row>
    <row r="90" spans="1:60" ht="19.5" thickTop="1" thickBot="1" x14ac:dyDescent="0.3">
      <c r="A90" s="65" t="s">
        <v>89</v>
      </c>
      <c r="B90" s="39">
        <f>B72+B87+B77+B79</f>
        <v>410540.44051458157</v>
      </c>
      <c r="C90" s="40"/>
      <c r="D90" s="39">
        <f>D72+D87+D77+D79</f>
        <v>-2490</v>
      </c>
      <c r="E90" s="40"/>
      <c r="F90" s="39">
        <f>F72+F87+F77+F79</f>
        <v>408050.44051458157</v>
      </c>
      <c r="G90" s="40"/>
      <c r="H90" s="39">
        <f>H72+H87+H77+H79</f>
        <v>209.65321331871746</v>
      </c>
      <c r="I90" s="40"/>
      <c r="J90" s="39">
        <f>J72+J87+J77+J79</f>
        <v>408260.0937279003</v>
      </c>
      <c r="K90" s="40"/>
      <c r="L90" s="39">
        <f>L72+L87+L77+L79</f>
        <v>-2625</v>
      </c>
      <c r="M90" s="40"/>
      <c r="N90" s="48">
        <f>N72+N87+N77+N79</f>
        <v>403118.0937279003</v>
      </c>
      <c r="O90" s="40"/>
      <c r="P90" s="48">
        <f>P72+P87+P77+P79</f>
        <v>1498</v>
      </c>
      <c r="Q90" s="40"/>
      <c r="R90" s="39">
        <f>R72+R87+R77+R79</f>
        <v>0</v>
      </c>
      <c r="S90" s="40"/>
      <c r="T90" s="48">
        <f>T72+T87+T77+T79</f>
        <v>404616.0937279003</v>
      </c>
      <c r="U90" s="40"/>
      <c r="V90" s="48">
        <f>V72+V87+V77+V79</f>
        <v>20886.57716666667</v>
      </c>
      <c r="W90" s="40"/>
      <c r="X90" s="48">
        <f>X72+X87+X77+X79</f>
        <v>-24266.85</v>
      </c>
      <c r="Y90" s="40"/>
      <c r="Z90" s="48">
        <f>Z72+Z87+Z77+Z79</f>
        <v>6940.9168593608219</v>
      </c>
      <c r="AA90" s="40"/>
      <c r="AB90" s="48">
        <f>AB72+AB87+AB77+AB79</f>
        <v>408176.73775392777</v>
      </c>
      <c r="AC90" s="40"/>
      <c r="AD90" s="48">
        <f>AD72+AD87+AD77+AD79</f>
        <v>16370.699584583333</v>
      </c>
      <c r="AE90" s="40"/>
      <c r="AF90" s="48">
        <f>AF72+AF87+AF77+AF79</f>
        <v>-24968.618333333332</v>
      </c>
      <c r="AG90" s="40"/>
      <c r="AH90" s="48">
        <f>AH72+AH87+AH77+AH79</f>
        <v>6898.6684242896135</v>
      </c>
      <c r="AI90" s="40"/>
      <c r="AJ90" s="48">
        <f>AJ72+AJ87+AJ77+AJ79</f>
        <v>406477.48742946744</v>
      </c>
      <c r="AK90" s="40"/>
      <c r="AL90" s="48">
        <f>AL72+AL87+AL77+AL79</f>
        <v>7191.8325243375002</v>
      </c>
      <c r="AM90" s="40"/>
      <c r="AN90" s="48">
        <f>AN72+AN87+AN77+AN79</f>
        <v>-24741.360500000003</v>
      </c>
      <c r="AO90" s="40"/>
      <c r="AP90" s="48">
        <f>AP72+AP87+AP77+AP79</f>
        <v>7255.7969921573567</v>
      </c>
      <c r="AQ90" s="40"/>
      <c r="AR90" s="48">
        <f>AR72+AR87+AR77+AR79</f>
        <v>396183.7564459623</v>
      </c>
      <c r="AT90" s="48">
        <f>AT72+AT87+AT77+AT79</f>
        <v>10804.265229709874</v>
      </c>
      <c r="AU90" s="40"/>
      <c r="AV90" s="48">
        <f>AV72+AV87+AV77+AV79</f>
        <v>-20798.052100000001</v>
      </c>
      <c r="AW90" s="40"/>
      <c r="AX90" s="48">
        <f>AX72+AX87+AX77+AX79</f>
        <v>7230.1948504369811</v>
      </c>
      <c r="AY90" s="40"/>
      <c r="AZ90" s="48">
        <f>AZ72+AZ87+AZ77+AZ79</f>
        <v>393420.16442610917</v>
      </c>
      <c r="BB90" s="48">
        <f>BB72+BB87+BB77+BB79</f>
        <v>11904.670040947043</v>
      </c>
      <c r="BC90" s="40"/>
      <c r="BD90" s="48">
        <f>BD72+BD87+BD77+BD79</f>
        <v>-17380.336487750003</v>
      </c>
      <c r="BE90" s="40"/>
      <c r="BF90" s="48">
        <f>BF72+BF87+BF77+BF79</f>
        <v>7341.904003314964</v>
      </c>
      <c r="BG90" s="40"/>
      <c r="BH90" s="48">
        <f>BH72+BH87+BH77+BH79</f>
        <v>395286.40198262117</v>
      </c>
    </row>
    <row r="91" spans="1:60" ht="18.75" thickTop="1" x14ac:dyDescent="0.25">
      <c r="B91" s="39"/>
      <c r="C91" s="40"/>
      <c r="D91" s="39"/>
      <c r="E91" s="40"/>
      <c r="F91" s="39"/>
      <c r="G91" s="40"/>
      <c r="H91" s="39"/>
      <c r="I91" s="40"/>
      <c r="J91" s="39"/>
      <c r="K91" s="40"/>
      <c r="L91" s="39"/>
      <c r="M91" s="40"/>
      <c r="N91" s="39"/>
      <c r="O91" s="40"/>
      <c r="P91" s="39"/>
      <c r="Q91" s="40"/>
      <c r="R91" s="39"/>
      <c r="S91" s="40"/>
      <c r="T91" s="39"/>
      <c r="U91" s="40"/>
      <c r="V91" s="39"/>
      <c r="W91" s="40"/>
      <c r="X91" s="39"/>
      <c r="Y91" s="40"/>
      <c r="Z91" s="39"/>
      <c r="AA91" s="40"/>
      <c r="AB91" s="39" t="s">
        <v>0</v>
      </c>
      <c r="AC91" s="40"/>
      <c r="AD91" s="39"/>
      <c r="AE91" s="40"/>
      <c r="AF91" s="39"/>
      <c r="AG91" s="40"/>
      <c r="AH91" s="39"/>
      <c r="AI91" s="40"/>
      <c r="AJ91" s="39"/>
      <c r="AK91" s="40"/>
      <c r="AL91" s="39"/>
      <c r="AM91" s="40"/>
      <c r="AN91" s="39"/>
      <c r="AO91" s="40"/>
      <c r="AP91" s="39"/>
      <c r="AQ91" s="40"/>
      <c r="AR91" s="39"/>
      <c r="AT91" s="39"/>
      <c r="AU91" s="40"/>
      <c r="AV91" s="39"/>
      <c r="AW91" s="40"/>
      <c r="AX91" s="39"/>
      <c r="AY91" s="40"/>
      <c r="AZ91" s="39"/>
      <c r="BB91" s="39"/>
      <c r="BC91" s="40"/>
      <c r="BD91" s="39"/>
      <c r="BE91" s="40"/>
      <c r="BF91" s="39"/>
      <c r="BG91" s="40"/>
      <c r="BH91" s="39"/>
    </row>
    <row r="92" spans="1:60" x14ac:dyDescent="0.25">
      <c r="A92" s="15" t="s">
        <v>90</v>
      </c>
      <c r="B92" s="39"/>
      <c r="C92" s="40"/>
      <c r="D92" s="39"/>
      <c r="E92" s="40"/>
      <c r="F92" s="39"/>
      <c r="G92" s="40"/>
      <c r="H92" s="39"/>
      <c r="I92" s="40"/>
      <c r="J92" s="39"/>
      <c r="K92" s="40"/>
      <c r="L92" s="39"/>
      <c r="M92" s="40"/>
      <c r="N92" s="39"/>
      <c r="O92" s="40"/>
      <c r="P92" s="39"/>
      <c r="Q92" s="41"/>
      <c r="R92" s="39"/>
      <c r="S92" s="40"/>
      <c r="T92" s="39"/>
      <c r="U92" s="40"/>
      <c r="V92" s="39"/>
      <c r="W92" s="41"/>
      <c r="X92" s="39"/>
      <c r="Y92" s="41"/>
      <c r="Z92" s="39"/>
      <c r="AA92" s="40"/>
      <c r="AB92" s="39"/>
      <c r="AC92" s="40"/>
      <c r="AD92" s="39"/>
      <c r="AE92" s="41"/>
      <c r="AF92" s="39"/>
      <c r="AG92" s="41"/>
      <c r="AH92" s="39"/>
      <c r="AI92" s="40"/>
      <c r="AJ92" s="39"/>
      <c r="AK92" s="40"/>
      <c r="AL92" s="39"/>
      <c r="AM92" s="41"/>
      <c r="AN92" s="39"/>
      <c r="AO92" s="41"/>
      <c r="AP92" s="39"/>
      <c r="AQ92" s="40"/>
      <c r="AR92" s="39"/>
      <c r="AT92" s="39"/>
      <c r="AU92" s="41"/>
      <c r="AV92" s="39"/>
      <c r="AW92" s="41"/>
      <c r="AX92" s="39"/>
      <c r="AY92" s="40"/>
      <c r="AZ92" s="39"/>
      <c r="BB92" s="39"/>
      <c r="BC92" s="41"/>
      <c r="BD92" s="39"/>
      <c r="BE92" s="41"/>
      <c r="BF92" s="39"/>
      <c r="BG92" s="40"/>
      <c r="BH92" s="39"/>
    </row>
    <row r="93" spans="1:60" x14ac:dyDescent="0.25">
      <c r="A93" s="15" t="s">
        <v>91</v>
      </c>
      <c r="B93" s="39">
        <v>5000</v>
      </c>
      <c r="C93" s="40"/>
      <c r="D93" s="39">
        <f>6000.3</f>
        <v>6000.3</v>
      </c>
      <c r="E93" s="67"/>
      <c r="F93" s="39">
        <f>B93+D93</f>
        <v>11000.3</v>
      </c>
      <c r="G93" s="9"/>
      <c r="H93" s="39">
        <f>SUM('[3]SUMMARY BUDGET MOVES '!L86:N86)</f>
        <v>0</v>
      </c>
      <c r="I93" s="9"/>
      <c r="J93" s="39">
        <f>F93+H93</f>
        <v>11000.3</v>
      </c>
      <c r="K93" s="40"/>
      <c r="L93" s="39">
        <f>SUM('[3]SUMMARY BUDGET MOVES '!P86)</f>
        <v>0</v>
      </c>
      <c r="M93" s="40"/>
      <c r="N93" s="39">
        <f>J93+L93</f>
        <v>11000.3</v>
      </c>
      <c r="O93" s="40"/>
      <c r="P93" s="39">
        <f>SUM('[3]SUMMARY BUDGET MOVES '!T86:Y86)</f>
        <v>0</v>
      </c>
      <c r="Q93" s="41"/>
      <c r="R93" s="39">
        <f>SUM('[3]SUMMARY BUDGET MOVES '!Z86:AB86)</f>
        <v>0</v>
      </c>
      <c r="S93" s="40"/>
      <c r="T93" s="39">
        <f>SUM(N93:R93)</f>
        <v>11000.3</v>
      </c>
      <c r="U93" s="40"/>
      <c r="V93" s="39">
        <v>-11000</v>
      </c>
      <c r="W93" s="41"/>
      <c r="X93" s="39">
        <v>0</v>
      </c>
      <c r="Y93" s="41"/>
      <c r="Z93" s="39">
        <f>'[3]SUMMARY BUDGET MOVES '!AT86+'[3]SUMMARY BUDGET MOVES '!AI86</f>
        <v>0</v>
      </c>
      <c r="AA93" s="40"/>
      <c r="AB93" s="39">
        <f>SUM(T93:Z93)</f>
        <v>0.2999999999992724</v>
      </c>
      <c r="AC93" s="40"/>
      <c r="AD93" s="39">
        <v>0</v>
      </c>
      <c r="AE93" s="41"/>
      <c r="AF93" s="39">
        <v>0</v>
      </c>
      <c r="AG93" s="41"/>
      <c r="AH93" s="39">
        <v>0</v>
      </c>
      <c r="AI93" s="40"/>
      <c r="AJ93" s="39">
        <f>SUM(AB93:AH93)</f>
        <v>0.2999999999992724</v>
      </c>
      <c r="AK93" s="40"/>
      <c r="AL93" s="39">
        <v>0</v>
      </c>
      <c r="AM93" s="41"/>
      <c r="AN93" s="39">
        <v>0</v>
      </c>
      <c r="AO93" s="41"/>
      <c r="AP93" s="39">
        <v>0</v>
      </c>
      <c r="AQ93" s="40"/>
      <c r="AR93" s="39">
        <f>SUM(AJ93:AP93)</f>
        <v>0.2999999999992724</v>
      </c>
      <c r="AT93" s="39">
        <v>0</v>
      </c>
      <c r="AU93" s="41"/>
      <c r="AV93" s="39">
        <v>0</v>
      </c>
      <c r="AW93" s="41"/>
      <c r="AX93" s="39">
        <v>0</v>
      </c>
      <c r="AY93" s="40"/>
      <c r="AZ93" s="39">
        <f>SUM(AR93:AX93)</f>
        <v>0.2999999999992724</v>
      </c>
      <c r="BB93" s="39">
        <v>0</v>
      </c>
      <c r="BC93" s="41"/>
      <c r="BD93" s="39">
        <v>0</v>
      </c>
      <c r="BE93" s="41"/>
      <c r="BF93" s="39">
        <v>0</v>
      </c>
      <c r="BG93" s="40"/>
      <c r="BH93" s="39">
        <f>SUM(AZ93:BF93)</f>
        <v>0.2999999999992724</v>
      </c>
    </row>
    <row r="94" spans="1:60" x14ac:dyDescent="0.25">
      <c r="A94" s="15" t="s">
        <v>92</v>
      </c>
      <c r="B94" s="39">
        <v>0</v>
      </c>
      <c r="C94" s="40"/>
      <c r="D94" s="39">
        <f>SUM('[3]SUMMARY BUDGET MOVES '!J87)</f>
        <v>0</v>
      </c>
      <c r="E94" s="40"/>
      <c r="F94" s="39">
        <f>B94+D94</f>
        <v>0</v>
      </c>
      <c r="G94" s="40"/>
      <c r="H94" s="39">
        <f>SUM('[3]SUMMARY BUDGET MOVES '!L87:N87)</f>
        <v>0</v>
      </c>
      <c r="I94" s="40"/>
      <c r="J94" s="39">
        <f>F94+H94</f>
        <v>0</v>
      </c>
      <c r="K94" s="40"/>
      <c r="L94" s="39">
        <f>SUM('[3]SUMMARY BUDGET MOVES '!P87)</f>
        <v>0</v>
      </c>
      <c r="M94" s="40"/>
      <c r="N94" s="39">
        <f>J94+L94</f>
        <v>0</v>
      </c>
      <c r="O94" s="40"/>
      <c r="P94" s="39">
        <f>SUM('[3]SUMMARY BUDGET MOVES '!T87:Y87)</f>
        <v>0</v>
      </c>
      <c r="Q94" s="41"/>
      <c r="R94" s="39">
        <f>SUM('[3]SUMMARY BUDGET MOVES '!Z87:AB87)</f>
        <v>0</v>
      </c>
      <c r="S94" s="40"/>
      <c r="T94" s="39">
        <f>SUM(N94:R94)</f>
        <v>0</v>
      </c>
      <c r="U94" s="40"/>
      <c r="V94" s="39">
        <f>SUM('[3]SUMMARY BUDGET MOVES '!AN87:AP87)+'[3]SUMMARY BUDGET MOVES '!AH87+'[3]SUMMARY BUDGET MOVES '!AI87</f>
        <v>0</v>
      </c>
      <c r="W94" s="41"/>
      <c r="X94" s="39">
        <f>SUM('[3]SUMMARY BUDGET MOVES '!AP87:AR87)+'[3]SUMMARY BUDGET MOVES '!AJ87+'[3]SUMMARY BUDGET MOVES '!AK87</f>
        <v>0</v>
      </c>
      <c r="Y94" s="41"/>
      <c r="Z94" s="39">
        <f>'[3]SUMMARY BUDGET MOVES '!AT87+'[3]SUMMARY BUDGET MOVES '!AI87</f>
        <v>0</v>
      </c>
      <c r="AA94" s="40"/>
      <c r="AB94" s="39">
        <f>SUM(T94:Z94)</f>
        <v>0</v>
      </c>
      <c r="AC94" s="40"/>
      <c r="AD94" s="39">
        <v>0</v>
      </c>
      <c r="AE94" s="41"/>
      <c r="AF94" s="39">
        <v>0</v>
      </c>
      <c r="AG94" s="41"/>
      <c r="AH94" s="39">
        <v>0</v>
      </c>
      <c r="AI94" s="40"/>
      <c r="AJ94" s="39">
        <f>SUM(AB94:AH94)</f>
        <v>0</v>
      </c>
      <c r="AK94" s="40"/>
      <c r="AL94" s="39">
        <v>0</v>
      </c>
      <c r="AM94" s="41"/>
      <c r="AN94" s="39">
        <v>0</v>
      </c>
      <c r="AO94" s="41"/>
      <c r="AP94" s="39">
        <v>0</v>
      </c>
      <c r="AQ94" s="40"/>
      <c r="AR94" s="39">
        <f>SUM(AJ94:AP94)</f>
        <v>0</v>
      </c>
      <c r="AT94" s="39">
        <v>0</v>
      </c>
      <c r="AU94" s="41"/>
      <c r="AV94" s="39">
        <v>0</v>
      </c>
      <c r="AW94" s="41"/>
      <c r="AX94" s="39">
        <v>0</v>
      </c>
      <c r="AY94" s="40"/>
      <c r="AZ94" s="39">
        <f>SUM(AR94:AX94)</f>
        <v>0</v>
      </c>
      <c r="BB94" s="39">
        <v>0</v>
      </c>
      <c r="BC94" s="41"/>
      <c r="BD94" s="39">
        <v>0</v>
      </c>
      <c r="BE94" s="41"/>
      <c r="BF94" s="39">
        <v>0</v>
      </c>
      <c r="BG94" s="40"/>
      <c r="BH94" s="39">
        <f>SUM(AZ94:BF94)</f>
        <v>0</v>
      </c>
    </row>
    <row r="95" spans="1:60" x14ac:dyDescent="0.25">
      <c r="A95" s="15" t="s">
        <v>93</v>
      </c>
      <c r="B95" s="39">
        <v>0</v>
      </c>
      <c r="C95" s="40"/>
      <c r="D95" s="39">
        <f>SUM('[3]SUMMARY BUDGET MOVES '!J88)</f>
        <v>0</v>
      </c>
      <c r="E95" s="40"/>
      <c r="F95" s="39">
        <f>B95+D95</f>
        <v>0</v>
      </c>
      <c r="G95" s="40"/>
      <c r="H95" s="39">
        <f>SUM('[3]SUMMARY BUDGET MOVES '!L88:N88)</f>
        <v>0</v>
      </c>
      <c r="I95" s="40"/>
      <c r="J95" s="39">
        <f>F95+H95</f>
        <v>0</v>
      </c>
      <c r="K95" s="40"/>
      <c r="L95" s="39">
        <f>SUM('[3]SUMMARY BUDGET MOVES '!P88)</f>
        <v>0</v>
      </c>
      <c r="M95" s="40"/>
      <c r="N95" s="39">
        <f>J95+L95</f>
        <v>0</v>
      </c>
      <c r="O95" s="40"/>
      <c r="P95" s="39">
        <f>SUM('[3]SUMMARY BUDGET MOVES '!T88:Y88)</f>
        <v>0</v>
      </c>
      <c r="Q95" s="41"/>
      <c r="R95" s="39">
        <f>SUM('[3]SUMMARY BUDGET MOVES '!Z88:AB88)</f>
        <v>0</v>
      </c>
      <c r="S95" s="40"/>
      <c r="T95" s="39">
        <f>SUM(N95:R95)</f>
        <v>0</v>
      </c>
      <c r="U95" s="40"/>
      <c r="V95" s="39">
        <f>SUM('[3]SUMMARY BUDGET MOVES '!AN88:AP88)+'[3]SUMMARY BUDGET MOVES '!AH88+'[3]SUMMARY BUDGET MOVES '!AI88</f>
        <v>0</v>
      </c>
      <c r="W95" s="41"/>
      <c r="X95" s="39">
        <f>SUM('[3]SUMMARY BUDGET MOVES '!AP88:AR88)+'[3]SUMMARY BUDGET MOVES '!AJ88+'[3]SUMMARY BUDGET MOVES '!AK88</f>
        <v>0</v>
      </c>
      <c r="Y95" s="41"/>
      <c r="Z95" s="39">
        <f>'[3]SUMMARY BUDGET MOVES '!AT88+'[3]SUMMARY BUDGET MOVES '!AI88</f>
        <v>0</v>
      </c>
      <c r="AA95" s="40"/>
      <c r="AB95" s="39">
        <f>SUM(T95:Z95)</f>
        <v>0</v>
      </c>
      <c r="AC95" s="40"/>
      <c r="AD95" s="39">
        <v>0</v>
      </c>
      <c r="AE95" s="41"/>
      <c r="AF95" s="39">
        <v>0</v>
      </c>
      <c r="AG95" s="41"/>
      <c r="AH95" s="39">
        <v>0</v>
      </c>
      <c r="AI95" s="40"/>
      <c r="AJ95" s="39">
        <f>SUM(AB95:AH95)</f>
        <v>0</v>
      </c>
      <c r="AK95" s="40"/>
      <c r="AL95" s="39">
        <v>0</v>
      </c>
      <c r="AM95" s="41"/>
      <c r="AN95" s="39">
        <v>0</v>
      </c>
      <c r="AO95" s="41"/>
      <c r="AP95" s="39">
        <v>0</v>
      </c>
      <c r="AQ95" s="40"/>
      <c r="AR95" s="39">
        <f>SUM(AJ95:AP95)</f>
        <v>0</v>
      </c>
      <c r="AT95" s="39">
        <v>0</v>
      </c>
      <c r="AU95" s="41"/>
      <c r="AV95" s="39">
        <v>0</v>
      </c>
      <c r="AW95" s="41"/>
      <c r="AX95" s="39">
        <v>0</v>
      </c>
      <c r="AY95" s="40"/>
      <c r="AZ95" s="39">
        <f>SUM(AR95:AX95)</f>
        <v>0</v>
      </c>
      <c r="BB95" s="39">
        <v>0</v>
      </c>
      <c r="BC95" s="41"/>
      <c r="BD95" s="39">
        <v>0</v>
      </c>
      <c r="BE95" s="41"/>
      <c r="BF95" s="39">
        <v>0</v>
      </c>
      <c r="BG95" s="40"/>
      <c r="BH95" s="39">
        <f>SUM(AZ95:BF95)</f>
        <v>0</v>
      </c>
    </row>
    <row r="96" spans="1:60" x14ac:dyDescent="0.25">
      <c r="A96" s="15" t="s">
        <v>94</v>
      </c>
      <c r="B96" s="39">
        <v>3713</v>
      </c>
      <c r="C96" s="40"/>
      <c r="D96" s="39">
        <f>2145-3713</f>
        <v>-1568</v>
      </c>
      <c r="E96" s="40"/>
      <c r="F96" s="39">
        <f>B96+D96</f>
        <v>2145</v>
      </c>
      <c r="G96" s="40"/>
      <c r="H96" s="39">
        <f>SUM('[3]SUMMARY BUDGET MOVES '!L89:N89)</f>
        <v>0</v>
      </c>
      <c r="I96" s="40"/>
      <c r="J96" s="39">
        <f>F96+H96</f>
        <v>2145</v>
      </c>
      <c r="K96" s="40"/>
      <c r="L96" s="39">
        <v>2625</v>
      </c>
      <c r="M96" s="40"/>
      <c r="N96" s="39">
        <f>J96+L96</f>
        <v>4770</v>
      </c>
      <c r="O96" s="40"/>
      <c r="P96" s="39">
        <v>0</v>
      </c>
      <c r="Q96" s="41"/>
      <c r="R96" s="39">
        <f>SUM('[3]SUMMARY BUDGET MOVES '!Z89:AB89)</f>
        <v>0</v>
      </c>
      <c r="S96" s="40"/>
      <c r="T96" s="39">
        <f>SUM(N96:R96)</f>
        <v>4770</v>
      </c>
      <c r="U96" s="40"/>
      <c r="V96" s="39">
        <v>-4770</v>
      </c>
      <c r="W96" s="41"/>
      <c r="X96" s="39"/>
      <c r="Y96" s="41"/>
      <c r="Z96" s="39">
        <f>'[3]SUMMARY BUDGET MOVES '!AT89+'[3]SUMMARY BUDGET MOVES '!AI89</f>
        <v>0</v>
      </c>
      <c r="AA96" s="40"/>
      <c r="AB96" s="39">
        <f>SUM(T96:Z96)</f>
        <v>0</v>
      </c>
      <c r="AC96" s="40"/>
      <c r="AD96" s="39"/>
      <c r="AE96" s="41"/>
      <c r="AF96" s="39">
        <v>0</v>
      </c>
      <c r="AG96" s="41"/>
      <c r="AH96" s="39">
        <v>0</v>
      </c>
      <c r="AI96" s="40"/>
      <c r="AJ96" s="39">
        <f>SUM(AB96:AH96)</f>
        <v>0</v>
      </c>
      <c r="AK96" s="40"/>
      <c r="AL96" s="39">
        <v>0</v>
      </c>
      <c r="AM96" s="41"/>
      <c r="AN96" s="39">
        <v>0</v>
      </c>
      <c r="AO96" s="41"/>
      <c r="AP96" s="39">
        <v>0</v>
      </c>
      <c r="AQ96" s="40"/>
      <c r="AR96" s="39">
        <f>SUM(AJ96:AP96)</f>
        <v>0</v>
      </c>
      <c r="AT96" s="39">
        <v>0</v>
      </c>
      <c r="AU96" s="41"/>
      <c r="AV96" s="39">
        <v>0</v>
      </c>
      <c r="AW96" s="41"/>
      <c r="AX96" s="39">
        <v>0</v>
      </c>
      <c r="AY96" s="40"/>
      <c r="AZ96" s="39">
        <f>SUM(AR96:AX96)</f>
        <v>0</v>
      </c>
      <c r="BB96" s="39">
        <v>0</v>
      </c>
      <c r="BC96" s="41"/>
      <c r="BD96" s="39">
        <v>0</v>
      </c>
      <c r="BE96" s="41"/>
      <c r="BF96" s="39">
        <v>0</v>
      </c>
      <c r="BG96" s="40"/>
      <c r="BH96" s="39">
        <f>SUM(AZ96:BF96)</f>
        <v>0</v>
      </c>
    </row>
    <row r="97" spans="1:60" ht="18.75" thickBot="1" x14ac:dyDescent="0.3">
      <c r="A97" s="65" t="s">
        <v>95</v>
      </c>
      <c r="B97" s="39">
        <f>SUM(B93:B96)</f>
        <v>8713</v>
      </c>
      <c r="C97" s="40"/>
      <c r="D97" s="39">
        <f>SUM(D93:D96)</f>
        <v>4432.3</v>
      </c>
      <c r="E97" s="40"/>
      <c r="F97" s="39">
        <f>B97+D97</f>
        <v>13145.3</v>
      </c>
      <c r="G97" s="40"/>
      <c r="H97" s="39">
        <f>SUM('[3]SUMMARY BUDGET MOVES '!L90:N90)</f>
        <v>0</v>
      </c>
      <c r="I97" s="40"/>
      <c r="J97" s="39">
        <f>F97+H97</f>
        <v>13145.3</v>
      </c>
      <c r="K97" s="40"/>
      <c r="L97" s="39">
        <f>SUM(L93:L96)</f>
        <v>2625</v>
      </c>
      <c r="M97" s="40"/>
      <c r="N97" s="66">
        <f>J97+L97</f>
        <v>15770.3</v>
      </c>
      <c r="O97" s="40"/>
      <c r="P97" s="66">
        <f>SUM(P93:P96)</f>
        <v>0</v>
      </c>
      <c r="Q97" s="41"/>
      <c r="R97" s="39">
        <f>SUM(R93:R96)</f>
        <v>0</v>
      </c>
      <c r="S97" s="40"/>
      <c r="T97" s="66">
        <f>SUM(T93:T96)</f>
        <v>15770.3</v>
      </c>
      <c r="U97" s="40"/>
      <c r="V97" s="66">
        <f>SUM(V93:V96)</f>
        <v>-15770</v>
      </c>
      <c r="W97" s="41"/>
      <c r="X97" s="66">
        <f>SUM(X93:X96)</f>
        <v>0</v>
      </c>
      <c r="Y97" s="41"/>
      <c r="Z97" s="66">
        <f>SUM(Z93:Z96)</f>
        <v>0</v>
      </c>
      <c r="AA97" s="40" t="s">
        <v>0</v>
      </c>
      <c r="AB97" s="66">
        <f>SUM(AB93:AB96)</f>
        <v>0.2999999999992724</v>
      </c>
      <c r="AC97" s="40"/>
      <c r="AD97" s="66">
        <f>SUM(AD93:AD96)</f>
        <v>0</v>
      </c>
      <c r="AE97" s="41"/>
      <c r="AF97" s="66">
        <f>SUM(AF93:AF96)</f>
        <v>0</v>
      </c>
      <c r="AG97" s="41"/>
      <c r="AH97" s="66">
        <f>SUM(AH93:AH96)</f>
        <v>0</v>
      </c>
      <c r="AI97" s="40"/>
      <c r="AJ97" s="66">
        <f>SUM(AJ93:AJ96)</f>
        <v>0.2999999999992724</v>
      </c>
      <c r="AK97" s="40"/>
      <c r="AL97" s="66">
        <f>SUM(AL93:AL96)</f>
        <v>0</v>
      </c>
      <c r="AM97" s="41"/>
      <c r="AN97" s="66">
        <f>SUM(AN93:AN96)</f>
        <v>0</v>
      </c>
      <c r="AO97" s="41"/>
      <c r="AP97" s="66">
        <f>SUM(AP93:AP96)</f>
        <v>0</v>
      </c>
      <c r="AQ97" s="40"/>
      <c r="AR97" s="66">
        <f>SUM(AR93:AR96)</f>
        <v>0.2999999999992724</v>
      </c>
      <c r="AT97" s="66">
        <f>SUM(AT93:AT96)</f>
        <v>0</v>
      </c>
      <c r="AU97" s="41"/>
      <c r="AV97" s="66">
        <f>SUM(AV93:AV96)</f>
        <v>0</v>
      </c>
      <c r="AW97" s="41"/>
      <c r="AX97" s="66">
        <f>SUM(AX93:AX96)</f>
        <v>0</v>
      </c>
      <c r="AY97" s="40"/>
      <c r="AZ97" s="66">
        <f>SUM(AZ93:AZ96)</f>
        <v>0.2999999999992724</v>
      </c>
      <c r="BB97" s="66">
        <f>SUM(BB93:BB96)</f>
        <v>0</v>
      </c>
      <c r="BC97" s="41"/>
      <c r="BD97" s="66">
        <f>SUM(BD93:BD96)</f>
        <v>0</v>
      </c>
      <c r="BE97" s="41"/>
      <c r="BF97" s="66">
        <f>SUM(BF93:BF96)</f>
        <v>0</v>
      </c>
      <c r="BG97" s="40"/>
      <c r="BH97" s="66">
        <f>SUM(BH93:BH96)</f>
        <v>0.2999999999992724</v>
      </c>
    </row>
    <row r="98" spans="1:60" ht="18.75" thickTop="1" x14ac:dyDescent="0.25">
      <c r="B98" s="39"/>
      <c r="C98" s="40"/>
      <c r="D98" s="39"/>
      <c r="E98" s="40"/>
      <c r="F98" s="39"/>
      <c r="G98" s="40"/>
      <c r="H98" s="39"/>
      <c r="I98" s="40"/>
      <c r="J98" s="39"/>
      <c r="K98" s="40"/>
      <c r="L98" s="39"/>
      <c r="M98" s="40"/>
      <c r="N98" s="39"/>
      <c r="O98" s="40"/>
      <c r="P98" s="39"/>
      <c r="Q98" s="41"/>
      <c r="R98" s="39"/>
      <c r="S98" s="40"/>
      <c r="T98" s="39"/>
      <c r="U98" s="40"/>
      <c r="V98" s="39"/>
      <c r="W98" s="41"/>
      <c r="X98" s="39"/>
      <c r="Y98" s="41"/>
      <c r="Z98" s="39"/>
      <c r="AA98" s="40"/>
      <c r="AB98" s="39"/>
      <c r="AC98" s="40"/>
      <c r="AD98" s="39"/>
      <c r="AE98" s="41"/>
      <c r="AF98" s="39"/>
      <c r="AG98" s="41"/>
      <c r="AH98" s="39"/>
      <c r="AI98" s="40"/>
      <c r="AJ98" s="39"/>
      <c r="AK98" s="40"/>
      <c r="AL98" s="39"/>
      <c r="AM98" s="41"/>
      <c r="AN98" s="39"/>
      <c r="AO98" s="41"/>
      <c r="AP98" s="39"/>
      <c r="AQ98" s="40"/>
      <c r="AR98" s="39"/>
      <c r="AT98" s="39"/>
      <c r="AU98" s="41"/>
      <c r="AV98" s="39"/>
      <c r="AW98" s="41"/>
      <c r="AX98" s="39"/>
      <c r="AY98" s="40"/>
      <c r="AZ98" s="39"/>
      <c r="BB98" s="39"/>
      <c r="BC98" s="41"/>
      <c r="BD98" s="39"/>
      <c r="BE98" s="41"/>
      <c r="BF98" s="39"/>
      <c r="BG98" s="40"/>
      <c r="BH98" s="39"/>
    </row>
    <row r="99" spans="1:60" ht="18.75" thickBot="1" x14ac:dyDescent="0.3">
      <c r="B99" s="39"/>
      <c r="C99" s="40"/>
      <c r="D99" s="46" t="s">
        <v>0</v>
      </c>
      <c r="E99" s="40"/>
      <c r="F99" s="46"/>
      <c r="G99" s="40"/>
      <c r="H99" s="46"/>
      <c r="I99" s="40"/>
      <c r="J99" s="46"/>
      <c r="K99" s="40"/>
      <c r="L99" s="39"/>
      <c r="M99" s="40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B99" s="48"/>
      <c r="BC99" s="48"/>
      <c r="BD99" s="48"/>
      <c r="BE99" s="48"/>
      <c r="BF99" s="48"/>
      <c r="BG99" s="48"/>
      <c r="BH99" s="48"/>
    </row>
    <row r="100" spans="1:60" ht="27.75" customHeight="1" thickBot="1" x14ac:dyDescent="0.3">
      <c r="A100" s="15" t="s">
        <v>96</v>
      </c>
      <c r="B100" s="66">
        <f>B72+B87+B77+B79+B97</f>
        <v>419253.44051458157</v>
      </c>
      <c r="C100" s="66" t="s">
        <v>0</v>
      </c>
      <c r="D100" s="66">
        <f>D72+D87+D77+D79+D97</f>
        <v>1942.3000000000002</v>
      </c>
      <c r="E100" s="66" t="s">
        <v>0</v>
      </c>
      <c r="F100" s="66">
        <f>F72+F87+F77+F79+F97</f>
        <v>421195.74051458156</v>
      </c>
      <c r="G100" s="66" t="s">
        <v>0</v>
      </c>
      <c r="H100" s="66">
        <f>H72+H87+H77+H79+H97</f>
        <v>209.65321331871746</v>
      </c>
      <c r="I100" s="66" t="s">
        <v>0</v>
      </c>
      <c r="J100" s="66">
        <f>J72+J87+J77+J79+J97</f>
        <v>421405.39372790029</v>
      </c>
      <c r="K100" s="66" t="s">
        <v>0</v>
      </c>
      <c r="L100" s="66">
        <f>L72+L87+L77+L79+L97</f>
        <v>0</v>
      </c>
      <c r="M100" s="66" t="s">
        <v>0</v>
      </c>
      <c r="N100" s="48">
        <f>N72+N87+N77+N79+N97-208</f>
        <v>418680.39372790029</v>
      </c>
      <c r="O100" s="66" t="s">
        <v>0</v>
      </c>
      <c r="P100" s="66">
        <f>P72+P87+P77+P79+P97</f>
        <v>1498</v>
      </c>
      <c r="Q100" s="66" t="s">
        <v>0</v>
      </c>
      <c r="R100" s="66">
        <f>R72+R87+R77+R79+R97</f>
        <v>0</v>
      </c>
      <c r="S100" s="66"/>
      <c r="T100" s="66">
        <f>T72+T87+T77+T79+T97-208</f>
        <v>420178.39372790029</v>
      </c>
      <c r="U100" s="66" t="s">
        <v>0</v>
      </c>
      <c r="V100" s="66">
        <f>V72+V87+V77+V79+V97</f>
        <v>5116.5771666666697</v>
      </c>
      <c r="W100" s="66"/>
      <c r="X100" s="66">
        <f>X72+X87+X77+X79+X97</f>
        <v>-24266.85</v>
      </c>
      <c r="Y100" s="66" t="s">
        <v>0</v>
      </c>
      <c r="Z100" s="66">
        <f>Z72+Z87+Z77+Z79+Z97</f>
        <v>6940.9168593608219</v>
      </c>
      <c r="AA100" s="66"/>
      <c r="AB100" s="66">
        <f>AB72+AB87+AB75+AB97+AB76+AB79</f>
        <v>408177.03775392775</v>
      </c>
      <c r="AC100" s="66"/>
      <c r="AD100" s="66">
        <f>AD72+AD87+AD77+AD79+AD97</f>
        <v>16370.699584583333</v>
      </c>
      <c r="AE100" s="66"/>
      <c r="AF100" s="66">
        <f>AF72+AF87+AF77+AF79+AF97</f>
        <v>-24968.618333333332</v>
      </c>
      <c r="AG100" s="66"/>
      <c r="AH100" s="66">
        <f>AH72+AH87+AH77+AH79+AH97</f>
        <v>6898.6684242896135</v>
      </c>
      <c r="AI100" s="66"/>
      <c r="AJ100" s="66">
        <f>AB100+AD100+AH100+AF100</f>
        <v>406477.78742946737</v>
      </c>
      <c r="AK100" s="40"/>
      <c r="AL100" s="66">
        <f>AL72+AL87+AL77+AL79+AL97</f>
        <v>7191.8325243375002</v>
      </c>
      <c r="AM100" s="66"/>
      <c r="AN100" s="66">
        <f>AN72+AN87+AN77+AN79+AN97</f>
        <v>-24741.360500000003</v>
      </c>
      <c r="AO100" s="66"/>
      <c r="AP100" s="66">
        <f>AP72+AP87+AP77+AP79+AP97</f>
        <v>7255.7969921573567</v>
      </c>
      <c r="AQ100" s="66"/>
      <c r="AR100" s="66">
        <f>AR72+AR87+AR77+AR79+AR97</f>
        <v>396184.05644596228</v>
      </c>
      <c r="AT100" s="66">
        <f>AT72+AT87+AT77+AT79+AT97</f>
        <v>10804.265229709874</v>
      </c>
      <c r="AU100" s="66"/>
      <c r="AV100" s="66">
        <f>AV72+AV87+AV77+AV79+AV97</f>
        <v>-20798.052100000001</v>
      </c>
      <c r="AW100" s="66"/>
      <c r="AX100" s="66">
        <f>AX72+AX87+AX77+AX79+AX97</f>
        <v>7230.1948504369811</v>
      </c>
      <c r="AY100" s="66"/>
      <c r="AZ100" s="66">
        <f>AZ72+AZ87+AZ77+AZ79+AZ97</f>
        <v>393420.46442610916</v>
      </c>
      <c r="BB100" s="66">
        <f>BB72+BB87+BB77+BB79+BB97</f>
        <v>11904.670040947043</v>
      </c>
      <c r="BC100" s="66"/>
      <c r="BD100" s="66">
        <f>BD72+BD87+BD77+BD79+BD97</f>
        <v>-17380.336487750003</v>
      </c>
      <c r="BE100" s="66"/>
      <c r="BF100" s="66">
        <f>BF72+BF87+BF77+BF79+BF97</f>
        <v>7341.904003314964</v>
      </c>
      <c r="BG100" s="66"/>
      <c r="BH100" s="66">
        <f>BH72+BH87+BH77+BH79+BH97</f>
        <v>395286.70198262116</v>
      </c>
    </row>
    <row r="101" spans="1:60" ht="18.75" thickTop="1" x14ac:dyDescent="0.25">
      <c r="A101" s="15" t="s">
        <v>97</v>
      </c>
      <c r="B101" s="39" t="s">
        <v>0</v>
      </c>
      <c r="C101" s="40"/>
      <c r="D101" s="39"/>
      <c r="E101" s="40"/>
      <c r="F101" s="39"/>
      <c r="G101" s="40"/>
      <c r="H101" s="39"/>
      <c r="I101" s="40"/>
      <c r="J101" s="39"/>
      <c r="K101" s="40"/>
      <c r="L101" s="39"/>
      <c r="M101" s="40"/>
      <c r="N101" s="39"/>
      <c r="O101" s="40"/>
      <c r="P101" s="39"/>
      <c r="Q101" s="40"/>
      <c r="R101" s="39"/>
      <c r="S101" s="40"/>
      <c r="T101" s="39"/>
      <c r="U101" s="40"/>
      <c r="V101" s="39"/>
      <c r="W101" s="40"/>
      <c r="X101" s="39"/>
      <c r="Y101" s="40"/>
      <c r="Z101" s="39"/>
      <c r="AA101" s="40"/>
      <c r="AB101" s="39"/>
      <c r="AC101" s="40"/>
      <c r="AD101" s="39"/>
      <c r="AE101" s="40"/>
      <c r="AF101" s="39"/>
      <c r="AG101" s="40"/>
      <c r="AH101" s="39"/>
      <c r="AI101" s="40"/>
      <c r="AJ101" s="39"/>
      <c r="AK101" s="40"/>
      <c r="AL101" s="39"/>
      <c r="AM101" s="40"/>
      <c r="AN101" s="39"/>
      <c r="AO101" s="40"/>
      <c r="AP101" s="39"/>
      <c r="AQ101" s="40"/>
      <c r="AR101" s="39"/>
      <c r="AT101" s="39"/>
      <c r="AU101" s="40"/>
      <c r="AV101" s="39"/>
      <c r="AW101" s="40"/>
      <c r="AX101" s="39"/>
      <c r="AY101" s="40"/>
      <c r="AZ101" s="39"/>
      <c r="BB101" s="39"/>
      <c r="BC101" s="40"/>
      <c r="BD101" s="39"/>
      <c r="BE101" s="40"/>
      <c r="BF101" s="39"/>
      <c r="BG101" s="40"/>
      <c r="BH101" s="39"/>
    </row>
    <row r="102" spans="1:60" x14ac:dyDescent="0.25">
      <c r="A102" s="15" t="s">
        <v>98</v>
      </c>
      <c r="B102" s="39">
        <v>0</v>
      </c>
      <c r="C102" s="40"/>
      <c r="D102" s="39">
        <v>0</v>
      </c>
      <c r="E102" s="40"/>
      <c r="F102" s="39">
        <f>B102+D102</f>
        <v>0</v>
      </c>
      <c r="G102" s="40"/>
      <c r="H102" s="39"/>
      <c r="I102" s="40"/>
      <c r="J102" s="39">
        <v>0</v>
      </c>
      <c r="K102" s="40"/>
      <c r="L102" s="39"/>
      <c r="M102" s="40"/>
      <c r="N102" s="39">
        <f>J102+L102</f>
        <v>0</v>
      </c>
      <c r="O102" s="40"/>
      <c r="P102" s="39"/>
      <c r="Q102" s="41"/>
      <c r="R102" s="39"/>
      <c r="S102" s="40"/>
      <c r="T102" s="39">
        <f>SUM(N102:R102)</f>
        <v>0</v>
      </c>
      <c r="U102" s="40"/>
      <c r="V102" s="39">
        <v>0</v>
      </c>
      <c r="W102" s="41"/>
      <c r="X102" s="39"/>
      <c r="Y102" s="41"/>
      <c r="Z102" s="39"/>
      <c r="AA102" s="40"/>
      <c r="AB102" s="39">
        <f>SUM(T102:Z102)</f>
        <v>0</v>
      </c>
      <c r="AC102" s="40"/>
      <c r="AD102" s="39">
        <v>10000</v>
      </c>
      <c r="AE102" s="41"/>
      <c r="AF102" s="39"/>
      <c r="AG102" s="41"/>
      <c r="AH102" s="39"/>
      <c r="AI102" s="40"/>
      <c r="AJ102" s="39">
        <f>SUM(AB102:AH102)</f>
        <v>10000</v>
      </c>
      <c r="AK102" s="40"/>
      <c r="AL102" s="39">
        <f>8688-10000</f>
        <v>-1312</v>
      </c>
      <c r="AM102" s="41"/>
      <c r="AN102" s="39"/>
      <c r="AO102" s="41"/>
      <c r="AP102" s="39"/>
      <c r="AQ102" s="40"/>
      <c r="AR102" s="39">
        <f>SUM(AJ102:AP102)</f>
        <v>8688</v>
      </c>
      <c r="AT102" s="39">
        <v>-8688</v>
      </c>
      <c r="AU102" s="41"/>
      <c r="AV102" s="39"/>
      <c r="AW102" s="41"/>
      <c r="AX102" s="39"/>
      <c r="AY102" s="40"/>
      <c r="AZ102" s="39">
        <f>SUM(AR102:AX102)</f>
        <v>0</v>
      </c>
      <c r="BB102" s="39">
        <v>0</v>
      </c>
      <c r="BC102" s="41"/>
      <c r="BD102" s="39"/>
      <c r="BE102" s="41"/>
      <c r="BF102" s="39"/>
      <c r="BG102" s="40"/>
      <c r="BH102" s="39">
        <f>SUM(AZ102:BF102)</f>
        <v>0</v>
      </c>
    </row>
    <row r="103" spans="1:60" x14ac:dyDescent="0.25">
      <c r="A103" s="15" t="s">
        <v>99</v>
      </c>
      <c r="B103" s="39">
        <v>574</v>
      </c>
      <c r="C103" s="40"/>
      <c r="D103" s="39">
        <f>2517-574</f>
        <v>1943</v>
      </c>
      <c r="E103" s="40"/>
      <c r="F103" s="39">
        <f>B103+D103</f>
        <v>2517</v>
      </c>
      <c r="G103" s="40"/>
      <c r="H103" s="39"/>
      <c r="I103" s="40"/>
      <c r="J103" s="39">
        <f>F103+H103</f>
        <v>2517</v>
      </c>
      <c r="K103" s="40"/>
      <c r="L103" s="39"/>
      <c r="M103" s="40"/>
      <c r="N103" s="39">
        <f>J103+L103-2517</f>
        <v>0</v>
      </c>
      <c r="O103" s="40"/>
      <c r="P103" s="39">
        <f>400+1098</f>
        <v>1498</v>
      </c>
      <c r="Q103" s="41"/>
      <c r="R103" s="39"/>
      <c r="S103" s="40"/>
      <c r="T103" s="39">
        <f>SUM(N103:R103)</f>
        <v>1498</v>
      </c>
      <c r="U103" s="40"/>
      <c r="V103" s="39">
        <f>1350</f>
        <v>1350</v>
      </c>
      <c r="W103" s="41"/>
      <c r="X103" s="39"/>
      <c r="Y103" s="41"/>
      <c r="Z103" s="39"/>
      <c r="AA103" s="40"/>
      <c r="AB103" s="39">
        <f>SUM(T103:Z103)</f>
        <v>2848</v>
      </c>
      <c r="AC103" s="40"/>
      <c r="AD103" s="39">
        <f>-1098+-400</f>
        <v>-1498</v>
      </c>
      <c r="AE103" s="41"/>
      <c r="AF103" s="39"/>
      <c r="AG103" s="41"/>
      <c r="AH103" s="39"/>
      <c r="AI103" s="40"/>
      <c r="AJ103" s="39">
        <f>SUM(AB103:AH103)</f>
        <v>1350</v>
      </c>
      <c r="AK103" s="40"/>
      <c r="AL103" s="39">
        <f>-1350</f>
        <v>-1350</v>
      </c>
      <c r="AM103" s="41"/>
      <c r="AN103" s="39"/>
      <c r="AO103" s="41"/>
      <c r="AP103" s="39"/>
      <c r="AQ103" s="40"/>
      <c r="AR103" s="39">
        <f>SUM(AJ103:AP103)</f>
        <v>0</v>
      </c>
      <c r="AT103" s="39">
        <v>0</v>
      </c>
      <c r="AU103" s="41"/>
      <c r="AV103" s="39"/>
      <c r="AW103" s="41"/>
      <c r="AX103" s="39"/>
      <c r="AY103" s="40"/>
      <c r="AZ103" s="39">
        <f>SUM(AR103:AX103)</f>
        <v>0</v>
      </c>
      <c r="BB103" s="39">
        <v>0</v>
      </c>
      <c r="BC103" s="41"/>
      <c r="BD103" s="39"/>
      <c r="BE103" s="41"/>
      <c r="BF103" s="39"/>
      <c r="BG103" s="40"/>
      <c r="BH103" s="39">
        <f>SUM(AZ103:BF103)</f>
        <v>0</v>
      </c>
    </row>
    <row r="104" spans="1:60" x14ac:dyDescent="0.25">
      <c r="A104" s="15" t="s">
        <v>100</v>
      </c>
      <c r="B104" s="39">
        <v>335549.41200000001</v>
      </c>
      <c r="C104" s="40"/>
      <c r="D104" s="39">
        <v>0</v>
      </c>
      <c r="E104" s="40"/>
      <c r="F104" s="39">
        <f>B104+D104</f>
        <v>335549.41200000001</v>
      </c>
      <c r="G104" s="40"/>
      <c r="H104" s="39"/>
      <c r="I104" s="40"/>
      <c r="J104" s="39">
        <f>'[3]MTFF '!L98</f>
        <v>335549.41200000001</v>
      </c>
      <c r="K104" s="40"/>
      <c r="L104" s="39"/>
      <c r="M104" s="40"/>
      <c r="N104" s="39">
        <f>J104+L104</f>
        <v>335549.41200000001</v>
      </c>
      <c r="O104" s="40"/>
      <c r="P104" s="39"/>
      <c r="Q104" s="41"/>
      <c r="R104" s="39"/>
      <c r="S104" s="40"/>
      <c r="T104" s="39">
        <f>SUM(N104:R104)</f>
        <v>335549.41200000001</v>
      </c>
      <c r="U104" s="40"/>
      <c r="V104" s="39">
        <f>[3]Funding!H64-[3]Funding!G64</f>
        <v>-16293</v>
      </c>
      <c r="W104" s="41"/>
      <c r="X104" s="39"/>
      <c r="Y104" s="41"/>
      <c r="Z104" s="39"/>
      <c r="AA104" s="40"/>
      <c r="AB104" s="39">
        <f>SUM(T104:Z104)</f>
        <v>319256.41200000001</v>
      </c>
      <c r="AC104" s="40"/>
      <c r="AD104" s="39">
        <f>[3]Funding!I64-[3]Funding!H64</f>
        <v>-11908.016000000003</v>
      </c>
      <c r="AE104" s="41"/>
      <c r="AF104" s="39"/>
      <c r="AG104" s="41"/>
      <c r="AH104" s="39"/>
      <c r="AI104" s="40"/>
      <c r="AJ104" s="39">
        <f>SUM(AB104:AH104)</f>
        <v>307348.39600000001</v>
      </c>
      <c r="AK104" s="40"/>
      <c r="AL104" s="39">
        <f>[3]Funding!J64-[3]Funding!I64</f>
        <v>-9372.1914879999822</v>
      </c>
      <c r="AM104" s="41"/>
      <c r="AN104" s="39"/>
      <c r="AO104" s="41"/>
      <c r="AP104" s="39"/>
      <c r="AQ104" s="40"/>
      <c r="AR104" s="39">
        <f>SUM(AJ104:AP104)</f>
        <v>297976.20451200003</v>
      </c>
      <c r="AT104" s="39">
        <f>[3]Funding!K64-[3]Funding!J64</f>
        <v>-9072.2813603840186</v>
      </c>
      <c r="AU104" s="41"/>
      <c r="AV104" s="39"/>
      <c r="AW104" s="41"/>
      <c r="AX104" s="39"/>
      <c r="AY104" s="40"/>
      <c r="AZ104" s="39">
        <f>SUM(AR104:AX104)</f>
        <v>288903.92315161601</v>
      </c>
      <c r="BB104" s="39">
        <f>[3]Funding!L64-[3]Funding!K64</f>
        <v>-8781.9683568517212</v>
      </c>
      <c r="BC104" s="41"/>
      <c r="BD104" s="39"/>
      <c r="BE104" s="41"/>
      <c r="BF104" s="39"/>
      <c r="BG104" s="40"/>
      <c r="BH104" s="39">
        <f>SUM(AZ104:BF104)</f>
        <v>280121.95479476429</v>
      </c>
    </row>
    <row r="105" spans="1:60" ht="15.75" customHeight="1" x14ac:dyDescent="0.25">
      <c r="A105" s="15" t="s">
        <v>101</v>
      </c>
      <c r="B105" s="39">
        <v>739</v>
      </c>
      <c r="C105" s="40"/>
      <c r="D105" s="39">
        <v>0</v>
      </c>
      <c r="E105" s="40"/>
      <c r="F105" s="39">
        <f>B105+D105</f>
        <v>739</v>
      </c>
      <c r="G105" s="40"/>
      <c r="H105" s="39"/>
      <c r="I105" s="40"/>
      <c r="J105" s="39">
        <f>'[3]MTFF '!L100</f>
        <v>739</v>
      </c>
      <c r="K105" s="40"/>
      <c r="L105" s="39"/>
      <c r="M105" s="40"/>
      <c r="N105" s="39">
        <f>J105+L105</f>
        <v>739</v>
      </c>
      <c r="O105" s="40"/>
      <c r="P105" s="39"/>
      <c r="Q105" s="41"/>
      <c r="R105" s="39"/>
      <c r="S105" s="40"/>
      <c r="T105" s="39">
        <f>SUM(N105:R105)</f>
        <v>739</v>
      </c>
      <c r="U105" s="40"/>
      <c r="V105" s="39">
        <f>'[3]MTFF '!N100</f>
        <v>10</v>
      </c>
      <c r="W105" s="41"/>
      <c r="X105" s="39"/>
      <c r="Y105" s="41"/>
      <c r="Z105" s="39"/>
      <c r="AA105" s="40"/>
      <c r="AB105" s="39">
        <f>SUM(T105:Z105)</f>
        <v>749</v>
      </c>
      <c r="AC105" s="40"/>
      <c r="AD105" s="39"/>
      <c r="AE105" s="41"/>
      <c r="AF105" s="39"/>
      <c r="AG105" s="41"/>
      <c r="AH105" s="39"/>
      <c r="AI105" s="40"/>
      <c r="AJ105" s="39">
        <f>SUM(AB105:AH105)</f>
        <v>749</v>
      </c>
      <c r="AK105" s="40"/>
      <c r="AL105" s="39">
        <v>0</v>
      </c>
      <c r="AM105" s="41"/>
      <c r="AN105" s="39"/>
      <c r="AO105" s="41"/>
      <c r="AP105" s="39"/>
      <c r="AQ105" s="40"/>
      <c r="AR105" s="39">
        <f>SUM(AJ105:AP105)</f>
        <v>749</v>
      </c>
      <c r="AT105" s="39">
        <v>0</v>
      </c>
      <c r="AU105" s="41"/>
      <c r="AV105" s="39"/>
      <c r="AW105" s="41"/>
      <c r="AX105" s="39"/>
      <c r="AY105" s="40"/>
      <c r="AZ105" s="39">
        <f>SUM(AR105:AX105)</f>
        <v>749</v>
      </c>
      <c r="BB105" s="39">
        <v>0</v>
      </c>
      <c r="BC105" s="41"/>
      <c r="BD105" s="39"/>
      <c r="BE105" s="41"/>
      <c r="BF105" s="39"/>
      <c r="BG105" s="40"/>
      <c r="BH105" s="39">
        <f>SUM(AZ105:BF105)</f>
        <v>749</v>
      </c>
    </row>
    <row r="106" spans="1:60" ht="26.25" hidden="1" customHeight="1" x14ac:dyDescent="0.25">
      <c r="A106" s="15" t="s">
        <v>102</v>
      </c>
      <c r="B106" s="39">
        <v>0</v>
      </c>
      <c r="C106" s="40"/>
      <c r="D106" s="39"/>
      <c r="E106" s="40"/>
      <c r="F106" s="39">
        <f>B106+D106</f>
        <v>0</v>
      </c>
      <c r="G106" s="40"/>
      <c r="H106" s="39">
        <v>0</v>
      </c>
      <c r="I106" s="40"/>
      <c r="J106" s="39"/>
      <c r="K106" s="40"/>
      <c r="L106" s="39"/>
      <c r="M106" s="40"/>
      <c r="N106" s="39"/>
      <c r="O106" s="40"/>
      <c r="P106" s="39"/>
      <c r="Q106" s="41"/>
      <c r="R106" s="39"/>
      <c r="S106" s="40"/>
      <c r="T106" s="39"/>
      <c r="U106" s="40"/>
      <c r="V106" s="39"/>
      <c r="W106" s="41"/>
      <c r="X106" s="39"/>
      <c r="Y106" s="41"/>
      <c r="Z106" s="39"/>
      <c r="AA106" s="40"/>
      <c r="AB106" s="39">
        <f>SUM(O106:Z106)</f>
        <v>0</v>
      </c>
      <c r="AC106" s="40"/>
      <c r="AD106" s="39"/>
      <c r="AE106" s="41"/>
      <c r="AF106" s="39"/>
      <c r="AG106" s="41"/>
      <c r="AH106" s="39"/>
      <c r="AI106" s="40"/>
      <c r="AJ106" s="39">
        <f>SUM(AB106:AH106)</f>
        <v>0</v>
      </c>
      <c r="AK106" s="40"/>
      <c r="AL106" s="39"/>
      <c r="AM106" s="41"/>
      <c r="AN106" s="39"/>
      <c r="AO106" s="41"/>
      <c r="AP106" s="39"/>
      <c r="AQ106" s="40"/>
      <c r="AR106" s="39">
        <f>SUM(AJ106:AP106)</f>
        <v>0</v>
      </c>
      <c r="AT106" s="39"/>
      <c r="AU106" s="41"/>
      <c r="AV106" s="39"/>
      <c r="AW106" s="41"/>
      <c r="AX106" s="39"/>
      <c r="AY106" s="40"/>
      <c r="AZ106" s="39">
        <f>SUM(AR106:AX106)</f>
        <v>0</v>
      </c>
      <c r="BB106" s="39"/>
      <c r="BC106" s="41"/>
      <c r="BD106" s="39"/>
      <c r="BE106" s="41"/>
      <c r="BF106" s="39"/>
      <c r="BG106" s="40"/>
      <c r="BH106" s="39">
        <f>SUM(AZ106:BF106)</f>
        <v>0</v>
      </c>
    </row>
    <row r="107" spans="1:60" ht="7.5" customHeight="1" x14ac:dyDescent="0.25">
      <c r="B107" s="39"/>
      <c r="C107" s="40"/>
      <c r="D107" s="39"/>
      <c r="E107" s="40"/>
      <c r="F107" s="39"/>
      <c r="G107" s="40"/>
      <c r="H107" s="39"/>
      <c r="I107" s="40"/>
      <c r="J107" s="39"/>
      <c r="K107" s="40"/>
      <c r="L107" s="39"/>
      <c r="M107" s="40"/>
      <c r="N107" s="39"/>
      <c r="O107" s="40"/>
      <c r="P107" s="39"/>
      <c r="Q107" s="41"/>
      <c r="R107" s="39"/>
      <c r="S107" s="40"/>
      <c r="T107" s="39"/>
      <c r="U107" s="40"/>
      <c r="V107" s="39"/>
      <c r="W107" s="41"/>
      <c r="X107" s="39"/>
      <c r="Y107" s="41"/>
      <c r="Z107" s="39"/>
      <c r="AA107" s="40"/>
      <c r="AB107" s="39"/>
      <c r="AC107" s="40"/>
      <c r="AD107" s="39"/>
      <c r="AE107" s="41"/>
      <c r="AF107" s="39"/>
      <c r="AG107" s="41"/>
      <c r="AH107" s="39"/>
      <c r="AI107" s="40"/>
      <c r="AJ107" s="39"/>
      <c r="AK107" s="40"/>
      <c r="AL107" s="39"/>
      <c r="AM107" s="41"/>
      <c r="AN107" s="39"/>
      <c r="AO107" s="41"/>
      <c r="AP107" s="39"/>
      <c r="AQ107" s="40"/>
      <c r="AR107" s="39"/>
      <c r="AT107" s="39"/>
      <c r="AU107" s="41"/>
      <c r="AV107" s="39"/>
      <c r="AW107" s="41"/>
      <c r="AX107" s="39"/>
      <c r="AY107" s="40"/>
      <c r="AZ107" s="39"/>
      <c r="BB107" s="39"/>
      <c r="BC107" s="41"/>
      <c r="BD107" s="39"/>
      <c r="BE107" s="41"/>
      <c r="BF107" s="39"/>
      <c r="BG107" s="40"/>
      <c r="BH107" s="39"/>
    </row>
    <row r="108" spans="1:60" ht="11.25" customHeight="1" thickBot="1" x14ac:dyDescent="0.3">
      <c r="B108" s="46"/>
      <c r="C108" s="40"/>
      <c r="D108" s="46"/>
      <c r="E108" s="40"/>
      <c r="F108" s="46"/>
      <c r="G108" s="40"/>
      <c r="H108" s="46"/>
      <c r="I108" s="40"/>
      <c r="J108" s="46"/>
      <c r="K108" s="40"/>
      <c r="L108" s="46"/>
      <c r="M108" s="40"/>
      <c r="N108" s="46"/>
      <c r="O108" s="40"/>
      <c r="P108" s="46"/>
      <c r="Q108" s="41"/>
      <c r="R108" s="46"/>
      <c r="S108" s="40"/>
      <c r="T108" s="46"/>
      <c r="U108" s="40"/>
      <c r="V108" s="46"/>
      <c r="W108" s="41"/>
      <c r="X108" s="46"/>
      <c r="Y108" s="41"/>
      <c r="Z108" s="46"/>
      <c r="AA108" s="40"/>
      <c r="AB108" s="46"/>
      <c r="AC108" s="40"/>
      <c r="AD108" s="46"/>
      <c r="AE108" s="41"/>
      <c r="AF108" s="46"/>
      <c r="AG108" s="41"/>
      <c r="AH108" s="46"/>
      <c r="AI108" s="40"/>
      <c r="AJ108" s="46"/>
      <c r="AK108" s="40"/>
      <c r="AL108" s="46"/>
      <c r="AM108" s="41"/>
      <c r="AN108" s="46"/>
      <c r="AO108" s="41"/>
      <c r="AP108" s="46"/>
      <c r="AQ108" s="40"/>
      <c r="AR108" s="46"/>
      <c r="AT108" s="46"/>
      <c r="AU108" s="41"/>
      <c r="AV108" s="46"/>
      <c r="AW108" s="41"/>
      <c r="AX108" s="46"/>
      <c r="AY108" s="40"/>
      <c r="AZ108" s="46"/>
      <c r="BB108" s="46"/>
      <c r="BC108" s="41"/>
      <c r="BD108" s="46"/>
      <c r="BE108" s="41"/>
      <c r="BF108" s="46"/>
      <c r="BG108" s="40"/>
      <c r="BH108" s="46"/>
    </row>
    <row r="109" spans="1:60" ht="27.75" customHeight="1" thickBot="1" x14ac:dyDescent="0.3">
      <c r="A109" s="60" t="s">
        <v>103</v>
      </c>
      <c r="B109" s="48">
        <f>SUM(B102:B108)</f>
        <v>336862.41200000001</v>
      </c>
      <c r="C109" s="48"/>
      <c r="D109" s="48">
        <f>SUM(D102:D108)</f>
        <v>1943</v>
      </c>
      <c r="E109" s="48"/>
      <c r="F109" s="48">
        <f>SUM(F102:F108)</f>
        <v>338805.41200000001</v>
      </c>
      <c r="G109" s="48"/>
      <c r="H109" s="48">
        <f>SUM(H102:H108)</f>
        <v>0</v>
      </c>
      <c r="I109" s="48"/>
      <c r="J109" s="48">
        <f>SUM(J102:J108)</f>
        <v>338805.41200000001</v>
      </c>
      <c r="K109" s="48"/>
      <c r="L109" s="48">
        <f>SUM(L102:L108)</f>
        <v>0</v>
      </c>
      <c r="M109" s="48" t="s">
        <v>0</v>
      </c>
      <c r="N109" s="48">
        <f>SUM(N102:N108)</f>
        <v>336288.41200000001</v>
      </c>
      <c r="O109" s="48"/>
      <c r="P109" s="48">
        <f>SUM(P102:P108)</f>
        <v>1498</v>
      </c>
      <c r="Q109" s="48"/>
      <c r="R109" s="48">
        <f>SUM(R102:R108)</f>
        <v>0</v>
      </c>
      <c r="S109" s="48"/>
      <c r="T109" s="48">
        <f>SUM(T102:T108)</f>
        <v>337786.41200000001</v>
      </c>
      <c r="U109" s="48"/>
      <c r="V109" s="48"/>
      <c r="W109" s="48"/>
      <c r="X109" s="48"/>
      <c r="Y109" s="48"/>
      <c r="Z109" s="48">
        <f>SUM(Z102:Z108)</f>
        <v>0</v>
      </c>
      <c r="AA109" s="48"/>
      <c r="AB109" s="48">
        <f>SUM(AB102:AB108)</f>
        <v>322853.41200000001</v>
      </c>
      <c r="AC109" s="48"/>
      <c r="AD109" s="48">
        <f>SUM(AD102:AD108)</f>
        <v>-3406.0160000000033</v>
      </c>
      <c r="AE109" s="48"/>
      <c r="AF109" s="48">
        <f>SUM(AF102:AF108)</f>
        <v>0</v>
      </c>
      <c r="AG109" s="48"/>
      <c r="AH109" s="48">
        <f>SUM(AH102:AH108)</f>
        <v>0</v>
      </c>
      <c r="AI109" s="48"/>
      <c r="AJ109" s="48">
        <f>SUM(AJ102:AJ108)</f>
        <v>319447.39600000001</v>
      </c>
      <c r="AK109" s="40"/>
      <c r="AL109" s="48">
        <f>SUM(AL102:AL108)</f>
        <v>-12034.191487999982</v>
      </c>
      <c r="AM109" s="48"/>
      <c r="AN109" s="48">
        <f>SUM(AN102:AN108)</f>
        <v>0</v>
      </c>
      <c r="AO109" s="48"/>
      <c r="AP109" s="48">
        <f>SUM(AP102:AP108)</f>
        <v>0</v>
      </c>
      <c r="AQ109" s="48"/>
      <c r="AR109" s="48">
        <f>SUM(AR102:AR108)</f>
        <v>307413.20451200003</v>
      </c>
      <c r="AT109" s="48">
        <f>SUM(AT102:AT108)</f>
        <v>-17760.281360384019</v>
      </c>
      <c r="AU109" s="48"/>
      <c r="AV109" s="48">
        <f>SUM(AV102:AV108)</f>
        <v>0</v>
      </c>
      <c r="AW109" s="48"/>
      <c r="AX109" s="48">
        <f>SUM(AX102:AX108)</f>
        <v>0</v>
      </c>
      <c r="AY109" s="48"/>
      <c r="AZ109" s="48">
        <f>SUM(AZ102:AZ108)</f>
        <v>289652.92315161601</v>
      </c>
      <c r="BB109" s="48">
        <f>SUM(BB102:BB108)</f>
        <v>-8781.9683568517212</v>
      </c>
      <c r="BC109" s="48"/>
      <c r="BD109" s="48">
        <f>SUM(BD102:BD108)</f>
        <v>0</v>
      </c>
      <c r="BE109" s="48"/>
      <c r="BF109" s="48">
        <f>SUM(BF102:BF108)</f>
        <v>0</v>
      </c>
      <c r="BG109" s="48"/>
      <c r="BH109" s="48">
        <f>SUM(BH102:BH108)</f>
        <v>280870.95479476429</v>
      </c>
    </row>
    <row r="110" spans="1:60" ht="19.5" thickTop="1" thickBot="1" x14ac:dyDescent="0.3">
      <c r="B110" s="68"/>
      <c r="C110" s="40"/>
      <c r="D110" s="68"/>
      <c r="E110" s="40"/>
      <c r="F110" s="68"/>
      <c r="G110" s="40"/>
      <c r="H110" s="46"/>
      <c r="I110" s="40"/>
      <c r="J110" s="68"/>
      <c r="K110" s="40"/>
      <c r="L110" s="68"/>
      <c r="M110" s="40"/>
      <c r="N110" s="68"/>
      <c r="O110" s="40"/>
      <c r="P110" s="46"/>
      <c r="Q110" s="49"/>
      <c r="R110" s="68"/>
      <c r="S110" s="40"/>
      <c r="T110" s="68"/>
      <c r="U110" s="40"/>
      <c r="V110" s="46"/>
      <c r="W110" s="49"/>
      <c r="X110" s="68"/>
      <c r="Y110" s="49"/>
      <c r="Z110" s="46"/>
      <c r="AA110" s="40"/>
      <c r="AB110" s="68"/>
      <c r="AC110" s="40"/>
      <c r="AD110" s="46"/>
      <c r="AE110" s="49"/>
      <c r="AF110" s="68"/>
      <c r="AG110" s="49"/>
      <c r="AH110" s="46"/>
      <c r="AI110" s="40"/>
      <c r="AJ110" s="68"/>
      <c r="AK110" s="40"/>
      <c r="AL110" s="46"/>
      <c r="AM110" s="49"/>
      <c r="AN110" s="68"/>
      <c r="AO110" s="49"/>
      <c r="AP110" s="46"/>
      <c r="AQ110" s="40"/>
      <c r="AR110" s="68"/>
      <c r="AT110" s="46"/>
      <c r="AU110" s="49"/>
      <c r="AV110" s="68"/>
      <c r="AW110" s="49"/>
      <c r="AX110" s="46"/>
      <c r="AY110" s="40"/>
      <c r="AZ110" s="68"/>
      <c r="BB110" s="46"/>
      <c r="BC110" s="49"/>
      <c r="BD110" s="68"/>
      <c r="BE110" s="49"/>
      <c r="BF110" s="46"/>
      <c r="BG110" s="40"/>
      <c r="BH110" s="68"/>
    </row>
    <row r="111" spans="1:60" x14ac:dyDescent="0.2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T111" s="40"/>
      <c r="AU111" s="40"/>
      <c r="AV111" s="40"/>
      <c r="AW111" s="40"/>
      <c r="AX111" s="40"/>
      <c r="AY111" s="40"/>
      <c r="AZ111" s="40"/>
      <c r="BB111" s="40"/>
      <c r="BC111" s="40"/>
      <c r="BD111" s="40"/>
      <c r="BE111" s="40"/>
      <c r="BF111" s="40"/>
      <c r="BG111" s="40"/>
      <c r="BH111" s="40"/>
    </row>
    <row r="112" spans="1:60" ht="6.75" customHeight="1" thickBot="1" x14ac:dyDescent="0.3">
      <c r="B112" s="58" t="s">
        <v>0</v>
      </c>
      <c r="C112" s="49"/>
      <c r="D112" s="58"/>
      <c r="E112" s="49"/>
      <c r="F112" s="58"/>
      <c r="G112" s="49"/>
      <c r="H112" s="59"/>
      <c r="I112" s="40"/>
      <c r="J112" s="58"/>
      <c r="K112" s="40"/>
      <c r="L112" s="58"/>
      <c r="M112" s="40"/>
      <c r="N112" s="58"/>
      <c r="O112" s="49"/>
      <c r="P112" s="59"/>
      <c r="Q112" s="49"/>
      <c r="R112" s="58"/>
      <c r="S112" s="40"/>
      <c r="T112" s="58"/>
      <c r="U112" s="49"/>
      <c r="V112" s="59"/>
      <c r="W112" s="49"/>
      <c r="X112" s="58"/>
      <c r="Y112" s="49"/>
      <c r="Z112" s="59"/>
      <c r="AA112" s="40"/>
      <c r="AB112" s="58"/>
      <c r="AC112" s="49"/>
      <c r="AD112" s="59"/>
      <c r="AE112" s="49"/>
      <c r="AF112" s="58"/>
      <c r="AG112" s="49"/>
      <c r="AH112" s="59"/>
      <c r="AI112" s="40"/>
      <c r="AJ112" s="58"/>
      <c r="AK112" s="40"/>
      <c r="AL112" s="59"/>
      <c r="AM112" s="49"/>
      <c r="AN112" s="58"/>
      <c r="AO112" s="49"/>
      <c r="AP112" s="59"/>
      <c r="AQ112" s="40"/>
      <c r="AR112" s="58"/>
      <c r="AT112" s="59"/>
      <c r="AU112" s="49"/>
      <c r="AV112" s="58"/>
      <c r="AW112" s="49"/>
      <c r="AX112" s="59"/>
      <c r="AY112" s="40"/>
      <c r="AZ112" s="58"/>
      <c r="BB112" s="59"/>
      <c r="BC112" s="49"/>
      <c r="BD112" s="58"/>
      <c r="BE112" s="49"/>
      <c r="BF112" s="59"/>
      <c r="BG112" s="40"/>
      <c r="BH112" s="58"/>
    </row>
    <row r="113" spans="1:60" ht="28.5" customHeight="1" thickBot="1" x14ac:dyDescent="0.3">
      <c r="A113" s="60" t="s">
        <v>104</v>
      </c>
      <c r="B113" s="48">
        <v>82391</v>
      </c>
      <c r="C113" s="40"/>
      <c r="D113" s="48"/>
      <c r="E113" s="40"/>
      <c r="F113" s="48">
        <f>B113+D113</f>
        <v>82391</v>
      </c>
      <c r="G113" s="40"/>
      <c r="H113" s="48">
        <f>'[3]MTFF '!D108</f>
        <v>0</v>
      </c>
      <c r="I113" s="40"/>
      <c r="J113" s="48">
        <f>F113+H113</f>
        <v>82391</v>
      </c>
      <c r="K113" s="40"/>
      <c r="L113" s="48"/>
      <c r="M113" s="40"/>
      <c r="N113" s="48">
        <f>J113+L113</f>
        <v>82391</v>
      </c>
      <c r="O113" s="40"/>
      <c r="P113" s="48"/>
      <c r="Q113" s="40"/>
      <c r="R113" s="48"/>
      <c r="S113" s="40"/>
      <c r="T113" s="48">
        <f>SUM(N113:R113)</f>
        <v>82391</v>
      </c>
      <c r="U113" s="40"/>
      <c r="V113" s="48">
        <f>[3]Funding!H66-[3]Funding!G66</f>
        <v>2932.8194325410441</v>
      </c>
      <c r="W113" s="40"/>
      <c r="X113" s="48"/>
      <c r="Y113" s="40"/>
      <c r="Z113" s="48"/>
      <c r="AA113" s="40"/>
      <c r="AB113" s="48">
        <f>SUM(O113:Z113)</f>
        <v>85323.819432541044</v>
      </c>
      <c r="AC113" s="40"/>
      <c r="AD113" s="48">
        <f>[3]Funding!I66-[3]Funding!H66</f>
        <v>1706.4725549230789</v>
      </c>
      <c r="AE113" s="40"/>
      <c r="AF113" s="48"/>
      <c r="AG113" s="40"/>
      <c r="AH113" s="48"/>
      <c r="AI113" s="40"/>
      <c r="AJ113" s="48">
        <f>SUM(AB113:AH113)</f>
        <v>87030.291987464123</v>
      </c>
      <c r="AK113" s="40"/>
      <c r="AL113" s="48">
        <f>[3]Funding!J66-[3]Funding!I66</f>
        <v>1740.6020060215378</v>
      </c>
      <c r="AM113" s="40"/>
      <c r="AN113" s="48"/>
      <c r="AO113" s="40"/>
      <c r="AP113" s="48"/>
      <c r="AQ113" s="40"/>
      <c r="AR113" s="48">
        <f>SUM(AJ113:AP113)</f>
        <v>88770.893993485661</v>
      </c>
      <c r="AT113" s="48">
        <f>[3]Funding!K66-[3]Funding!J66</f>
        <v>1775.4140461419738</v>
      </c>
      <c r="AU113" s="40"/>
      <c r="AV113" s="48"/>
      <c r="AW113" s="40"/>
      <c r="AX113" s="48"/>
      <c r="AY113" s="40"/>
      <c r="AZ113" s="48">
        <f>SUM(AR113:AX113)</f>
        <v>90546.308039627635</v>
      </c>
      <c r="BB113" s="48">
        <f>[3]Funding!L66-[3]Funding!K66</f>
        <v>1810.9223270648072</v>
      </c>
      <c r="BC113" s="40"/>
      <c r="BD113" s="48"/>
      <c r="BE113" s="40"/>
      <c r="BF113" s="48"/>
      <c r="BG113" s="40"/>
      <c r="BH113" s="48">
        <f>SUM(AZ113:BF113)</f>
        <v>92357.230366692442</v>
      </c>
    </row>
    <row r="114" spans="1:60" ht="19.5" thickTop="1" thickBot="1" x14ac:dyDescent="0.3">
      <c r="A114" s="15">
        <f>6</f>
        <v>6</v>
      </c>
      <c r="B114" s="68"/>
      <c r="C114" s="40"/>
      <c r="D114" s="68"/>
      <c r="E114" s="40"/>
      <c r="F114" s="68"/>
      <c r="G114" s="40"/>
      <c r="H114" s="46"/>
      <c r="I114" s="40"/>
      <c r="J114" s="68"/>
      <c r="K114" s="40"/>
      <c r="L114" s="68"/>
      <c r="M114" s="40"/>
      <c r="N114" s="68"/>
      <c r="O114" s="40"/>
      <c r="P114" s="46"/>
      <c r="Q114" s="49"/>
      <c r="R114" s="68"/>
      <c r="S114" s="40"/>
      <c r="T114" s="68"/>
      <c r="U114" s="40"/>
      <c r="V114" s="46"/>
      <c r="W114" s="49"/>
      <c r="X114" s="68"/>
      <c r="Y114" s="49"/>
      <c r="Z114" s="46"/>
      <c r="AA114" s="40"/>
      <c r="AB114" s="68"/>
      <c r="AC114" s="40"/>
      <c r="AD114" s="46"/>
      <c r="AE114" s="49"/>
      <c r="AF114" s="68"/>
      <c r="AG114" s="49"/>
      <c r="AH114" s="46"/>
      <c r="AI114" s="40"/>
      <c r="AJ114" s="68" t="s">
        <v>0</v>
      </c>
      <c r="AK114" s="40"/>
      <c r="AL114" s="46"/>
      <c r="AM114" s="49"/>
      <c r="AN114" s="68"/>
      <c r="AO114" s="49"/>
      <c r="AP114" s="46"/>
      <c r="AQ114" s="40"/>
      <c r="AR114" s="68"/>
      <c r="AT114" s="46"/>
      <c r="AU114" s="49"/>
      <c r="AV114" s="68"/>
      <c r="AW114" s="49"/>
      <c r="AX114" s="46"/>
      <c r="AY114" s="40"/>
      <c r="AZ114" s="68"/>
      <c r="BB114" s="46"/>
      <c r="BC114" s="49"/>
      <c r="BD114" s="68"/>
      <c r="BE114" s="49"/>
      <c r="BF114" s="46"/>
      <c r="BG114" s="40"/>
      <c r="BH114" s="68"/>
    </row>
    <row r="115" spans="1:60" x14ac:dyDescent="0.2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T115" s="40"/>
      <c r="AU115" s="40"/>
      <c r="AV115" s="40"/>
      <c r="AW115" s="40"/>
      <c r="AX115" s="40"/>
      <c r="AY115" s="40"/>
      <c r="AZ115" s="40"/>
      <c r="BB115" s="40"/>
      <c r="BC115" s="40"/>
      <c r="BD115" s="40"/>
      <c r="BE115" s="40"/>
      <c r="BF115" s="40"/>
      <c r="BG115" s="40"/>
      <c r="BH115" s="40"/>
    </row>
    <row r="116" spans="1:60" ht="0.75" customHeight="1" thickBot="1" x14ac:dyDescent="0.3">
      <c r="B116" s="58"/>
      <c r="C116" s="49"/>
      <c r="D116" s="58"/>
      <c r="E116" s="49"/>
      <c r="F116" s="58"/>
      <c r="G116" s="49"/>
      <c r="H116" s="59"/>
      <c r="I116" s="40"/>
      <c r="J116" s="58"/>
      <c r="K116" s="40"/>
      <c r="L116" s="58"/>
      <c r="M116" s="40"/>
      <c r="N116" s="58"/>
      <c r="O116" s="49"/>
      <c r="P116" s="59"/>
      <c r="Q116" s="49"/>
      <c r="R116" s="58"/>
      <c r="S116" s="40"/>
      <c r="T116" s="58"/>
      <c r="U116" s="49"/>
      <c r="V116" s="59"/>
      <c r="W116" s="49"/>
      <c r="X116" s="58"/>
      <c r="Y116" s="49"/>
      <c r="Z116" s="59"/>
      <c r="AA116" s="40"/>
      <c r="AB116" s="58"/>
      <c r="AC116" s="49"/>
      <c r="AD116" s="59"/>
      <c r="AE116" s="49"/>
      <c r="AF116" s="58"/>
      <c r="AG116" s="49"/>
      <c r="AH116" s="59"/>
      <c r="AI116" s="40"/>
      <c r="AJ116" s="58"/>
      <c r="AK116" s="40"/>
      <c r="AL116" s="59"/>
      <c r="AM116" s="49"/>
      <c r="AN116" s="58"/>
      <c r="AO116" s="49"/>
      <c r="AP116" s="59"/>
      <c r="AQ116" s="40"/>
      <c r="AR116" s="58"/>
      <c r="AT116" s="59"/>
      <c r="AU116" s="49"/>
      <c r="AV116" s="58"/>
      <c r="AW116" s="49"/>
      <c r="AX116" s="59"/>
      <c r="AY116" s="40"/>
      <c r="AZ116" s="58"/>
      <c r="BB116" s="59"/>
      <c r="BC116" s="49"/>
      <c r="BD116" s="58"/>
      <c r="BE116" s="49"/>
      <c r="BF116" s="59"/>
      <c r="BG116" s="40"/>
      <c r="BH116" s="58"/>
    </row>
    <row r="117" spans="1:60" ht="18.75" thickBot="1" x14ac:dyDescent="0.3">
      <c r="A117" s="60" t="s">
        <v>105</v>
      </c>
      <c r="B117" s="48"/>
      <c r="C117" s="40"/>
      <c r="D117" s="48"/>
      <c r="E117" s="40"/>
      <c r="F117" s="48">
        <f>F100-SUM(F109+F113)+0.4</f>
        <v>-0.27148541845381258</v>
      </c>
      <c r="G117" s="40"/>
      <c r="H117" s="48"/>
      <c r="I117" s="40"/>
      <c r="J117" s="48">
        <f>J100-SUM(J109+J113)+0.6</f>
        <v>209.58172790027456</v>
      </c>
      <c r="K117" s="40"/>
      <c r="L117" s="48"/>
      <c r="M117" s="40"/>
      <c r="N117" s="48">
        <f>N100-SUM(N109+N113)-1</f>
        <v>-1.8272099725436419E-2</v>
      </c>
      <c r="O117" s="40"/>
      <c r="P117" s="48" t="s">
        <v>0</v>
      </c>
      <c r="Q117" s="40"/>
      <c r="R117" s="48"/>
      <c r="S117" s="40"/>
      <c r="T117" s="48">
        <f>T100-SUM(T109+T113)-1</f>
        <v>-1.8272099725436419E-2</v>
      </c>
      <c r="U117" s="40"/>
      <c r="V117" s="48"/>
      <c r="W117" s="40"/>
      <c r="X117" s="48"/>
      <c r="Y117" s="40"/>
      <c r="Z117" s="48"/>
      <c r="AA117" s="40"/>
      <c r="AB117" s="48">
        <f>AB100-AB109-AB113</f>
        <v>-0.19367861330101732</v>
      </c>
      <c r="AC117" s="40"/>
      <c r="AD117" s="48">
        <v>0</v>
      </c>
      <c r="AE117" s="40"/>
      <c r="AF117" s="48"/>
      <c r="AG117" s="40"/>
      <c r="AH117" s="48"/>
      <c r="AI117" s="40"/>
      <c r="AJ117" s="48">
        <f>AJ100-AJ109-AJ113</f>
        <v>9.9442003236617893E-2</v>
      </c>
      <c r="AK117" s="40"/>
      <c r="AL117" s="48">
        <v>0</v>
      </c>
      <c r="AM117" s="40"/>
      <c r="AN117" s="48"/>
      <c r="AO117" s="40"/>
      <c r="AP117" s="48"/>
      <c r="AQ117" s="40"/>
      <c r="AR117" s="48">
        <f>AR100-AR109-AR113</f>
        <v>-4.2059523402713239E-2</v>
      </c>
      <c r="AT117" s="48">
        <v>0</v>
      </c>
      <c r="AU117" s="40"/>
      <c r="AV117" s="48"/>
      <c r="AW117" s="40"/>
      <c r="AX117" s="48"/>
      <c r="AY117" s="40"/>
      <c r="AZ117" s="48">
        <f>AZ100-AZ109-AZ113-104</f>
        <v>13117.233234865518</v>
      </c>
      <c r="BB117" s="48">
        <v>0</v>
      </c>
      <c r="BC117" s="40"/>
      <c r="BD117" s="48"/>
      <c r="BE117" s="40"/>
      <c r="BF117" s="48"/>
      <c r="BG117" s="40"/>
      <c r="BH117" s="48">
        <f>BH100-BH109-BH113-155</f>
        <v>21903.516821164434</v>
      </c>
    </row>
    <row r="118" spans="1:60" ht="19.5" thickTop="1" thickBot="1" x14ac:dyDescent="0.3">
      <c r="B118" s="68"/>
      <c r="C118" s="40"/>
      <c r="D118" s="68"/>
      <c r="E118" s="40"/>
      <c r="F118" s="68"/>
      <c r="G118" s="40"/>
      <c r="H118" s="46"/>
      <c r="I118" s="40"/>
      <c r="J118" s="68"/>
      <c r="K118" s="40"/>
      <c r="L118" s="68"/>
      <c r="M118" s="40"/>
      <c r="N118" s="68"/>
      <c r="O118" s="40"/>
      <c r="P118" s="46"/>
      <c r="Q118" s="49"/>
      <c r="R118" s="68"/>
      <c r="S118" s="40"/>
      <c r="T118" s="68"/>
      <c r="U118" s="40"/>
      <c r="V118" s="46"/>
      <c r="W118" s="49"/>
      <c r="X118" s="68"/>
      <c r="Y118" s="49"/>
      <c r="Z118" s="46"/>
      <c r="AA118" s="40"/>
      <c r="AB118" s="68"/>
      <c r="AC118" s="40"/>
      <c r="AD118" s="46"/>
      <c r="AE118" s="49"/>
      <c r="AF118" s="68"/>
      <c r="AG118" s="49"/>
      <c r="AH118" s="46"/>
      <c r="AI118" s="40"/>
      <c r="AJ118" s="68"/>
      <c r="AK118" s="40"/>
      <c r="AL118" s="46"/>
      <c r="AM118" s="49"/>
      <c r="AN118" s="68"/>
      <c r="AO118" s="49"/>
      <c r="AP118" s="46"/>
      <c r="AQ118" s="40"/>
      <c r="AR118" s="68"/>
      <c r="AT118" s="46"/>
      <c r="AU118" s="49"/>
      <c r="AV118" s="68"/>
      <c r="AW118" s="49"/>
      <c r="AX118" s="46"/>
      <c r="AY118" s="40"/>
      <c r="AZ118" s="68"/>
      <c r="BB118" s="46"/>
      <c r="BC118" s="49"/>
      <c r="BD118" s="68"/>
      <c r="BE118" s="49"/>
      <c r="BF118" s="46"/>
      <c r="BG118" s="40"/>
      <c r="BH118" s="68"/>
    </row>
    <row r="119" spans="1:60" x14ac:dyDescent="0.25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 t="s">
        <v>0</v>
      </c>
      <c r="AC119" s="40"/>
      <c r="AD119" s="40"/>
      <c r="AE119" s="40"/>
      <c r="AF119" s="40"/>
      <c r="AG119" s="40"/>
      <c r="AH119" s="40"/>
      <c r="AI119" s="40"/>
      <c r="AJ119" s="40" t="s">
        <v>0</v>
      </c>
      <c r="AK119" s="40"/>
      <c r="AL119" s="40"/>
      <c r="AM119" s="40"/>
      <c r="AN119" s="40"/>
      <c r="AO119" s="40"/>
      <c r="AP119" s="40"/>
      <c r="AQ119" s="40"/>
      <c r="AR119" s="40" t="s">
        <v>0</v>
      </c>
      <c r="AT119" s="40"/>
      <c r="AU119" s="40"/>
      <c r="AV119" s="40"/>
      <c r="AW119" s="40"/>
      <c r="AX119" s="40"/>
      <c r="AY119" s="40"/>
      <c r="AZ119" s="40" t="s">
        <v>0</v>
      </c>
    </row>
    <row r="120" spans="1:60" x14ac:dyDescent="0.25">
      <c r="B120" s="40"/>
      <c r="L120" s="69"/>
      <c r="N120" s="69"/>
      <c r="T120" s="69"/>
      <c r="AB120" s="69"/>
      <c r="AD120" s="70"/>
      <c r="AF120" s="71"/>
      <c r="AJ120" s="69"/>
    </row>
    <row r="121" spans="1:60" x14ac:dyDescent="0.25">
      <c r="B121" s="40"/>
      <c r="AB121" s="42"/>
    </row>
    <row r="122" spans="1:60" x14ac:dyDescent="0.25">
      <c r="B122" s="72"/>
      <c r="L122" s="72"/>
      <c r="N122" s="72"/>
      <c r="T122" s="72"/>
      <c r="AB122" s="72"/>
      <c r="AD122" s="45"/>
      <c r="AJ122" s="72"/>
    </row>
    <row r="123" spans="1:60" x14ac:dyDescent="0.25">
      <c r="B123" s="72"/>
      <c r="L123" s="72"/>
      <c r="N123" s="72"/>
      <c r="T123" s="72"/>
      <c r="AB123" s="73"/>
      <c r="AD123" s="45"/>
      <c r="AJ123" s="73"/>
      <c r="AR123" s="73"/>
      <c r="AZ123" s="73"/>
      <c r="BH123" s="73"/>
    </row>
    <row r="124" spans="1:60" x14ac:dyDescent="0.25">
      <c r="A124" s="13"/>
      <c r="L124" s="69"/>
      <c r="N124" s="69"/>
      <c r="T124" s="69"/>
      <c r="AB124" s="69"/>
      <c r="AJ124" s="69"/>
    </row>
    <row r="125" spans="1:60" x14ac:dyDescent="0.25">
      <c r="L125" s="69"/>
      <c r="N125" s="69"/>
      <c r="P125" s="70"/>
      <c r="T125" s="69"/>
      <c r="V125" s="70"/>
      <c r="AB125" s="69"/>
      <c r="AJ125" s="69"/>
    </row>
    <row r="126" spans="1:60" x14ac:dyDescent="0.25">
      <c r="L126" s="69"/>
      <c r="N126" s="69"/>
      <c r="P126" s="70"/>
      <c r="T126" s="69"/>
      <c r="V126" s="70"/>
      <c r="AB126" s="69"/>
    </row>
    <row r="127" spans="1:60" x14ac:dyDescent="0.25">
      <c r="L127" s="69"/>
      <c r="N127" s="69"/>
      <c r="P127" s="71"/>
      <c r="T127" s="69"/>
      <c r="V127" s="71"/>
      <c r="AB127" s="69"/>
      <c r="AJ127" s="69"/>
      <c r="AL127" s="69"/>
    </row>
    <row r="129" spans="12:38" x14ac:dyDescent="0.25">
      <c r="AJ129" s="69"/>
      <c r="AL129" s="69"/>
    </row>
    <row r="130" spans="12:38" x14ac:dyDescent="0.25">
      <c r="AJ130" s="69"/>
    </row>
    <row r="131" spans="12:38" x14ac:dyDescent="0.25">
      <c r="AJ131" s="69"/>
    </row>
    <row r="133" spans="12:38" x14ac:dyDescent="0.25">
      <c r="L133" s="69"/>
      <c r="N133" s="69"/>
      <c r="T133" s="69"/>
      <c r="AB133" s="69"/>
      <c r="AJ133" s="69"/>
      <c r="AL133" s="69"/>
    </row>
    <row r="135" spans="12:38" x14ac:dyDescent="0.25">
      <c r="L135" s="69"/>
      <c r="N135" s="69"/>
      <c r="T135" s="69"/>
      <c r="AB135" s="69"/>
      <c r="AJ135" s="69"/>
      <c r="AL135" s="69"/>
    </row>
    <row r="136" spans="12:38" x14ac:dyDescent="0.25">
      <c r="L136" s="69"/>
      <c r="N136" s="69"/>
      <c r="T136" s="69"/>
      <c r="AB136" s="69"/>
      <c r="AJ136" s="69"/>
    </row>
    <row r="137" spans="12:38" x14ac:dyDescent="0.25">
      <c r="L137" s="69"/>
      <c r="N137" s="69"/>
      <c r="T137" s="69"/>
      <c r="AB137" s="69"/>
      <c r="AJ137" s="69"/>
    </row>
    <row r="138" spans="12:38" x14ac:dyDescent="0.25">
      <c r="L138" s="69"/>
      <c r="N138" s="69"/>
      <c r="T138" s="69"/>
      <c r="AB138" s="69" t="s">
        <v>0</v>
      </c>
      <c r="AJ138" s="69"/>
    </row>
    <row r="139" spans="12:38" x14ac:dyDescent="0.25">
      <c r="L139" s="69"/>
      <c r="N139" s="69"/>
      <c r="T139" s="69"/>
      <c r="AB139" s="69" t="s">
        <v>0</v>
      </c>
      <c r="AJ139" s="70"/>
    </row>
    <row r="141" spans="12:38" x14ac:dyDescent="0.25">
      <c r="L141" s="69"/>
      <c r="N141" s="69"/>
      <c r="T141" s="69"/>
      <c r="AB141" s="69" t="s">
        <v>0</v>
      </c>
      <c r="AJ141" s="69" t="s">
        <v>0</v>
      </c>
    </row>
  </sheetData>
  <pageMargins left="0.23" right="0.13" top="0.35433070866141736" bottom="0.23622047244094491" header="0.19685039370078741" footer="0.37"/>
  <pageSetup paperSize="8" scale="35" fitToHeight="0" orientation="landscape" r:id="rId1"/>
  <headerFooter alignWithMargins="0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J69" sqref="J69"/>
    </sheetView>
  </sheetViews>
  <sheetFormatPr defaultRowHeight="12.75" x14ac:dyDescent="0.2"/>
  <cols>
    <col min="1" max="1" width="4.28515625" style="1" customWidth="1"/>
    <col min="2" max="2" width="9.140625" style="1"/>
    <col min="3" max="3" width="11.7109375" style="1" customWidth="1"/>
    <col min="4" max="4" width="10.28515625" style="1" customWidth="1"/>
    <col min="5" max="6" width="9.140625" style="1"/>
    <col min="7" max="7" width="10.7109375" style="1" customWidth="1"/>
    <col min="8" max="9" width="9.140625" style="1"/>
    <col min="10" max="10" width="12.85546875" style="111" customWidth="1"/>
    <col min="11" max="16384" width="9.140625" style="1"/>
  </cols>
  <sheetData>
    <row r="1" spans="1:15" x14ac:dyDescent="0.2">
      <c r="J1" s="108" t="s">
        <v>183</v>
      </c>
    </row>
    <row r="2" spans="1:15" s="2" customFormat="1" ht="15.75" x14ac:dyDescent="0.25">
      <c r="C2" s="107" t="s">
        <v>142</v>
      </c>
      <c r="J2" s="108"/>
    </row>
    <row r="5" spans="1:15" s="2" customFormat="1" x14ac:dyDescent="0.2">
      <c r="B5" s="2" t="s">
        <v>0</v>
      </c>
      <c r="H5" s="109" t="s">
        <v>1</v>
      </c>
      <c r="I5" s="4" t="s">
        <v>1</v>
      </c>
      <c r="J5" s="110" t="s">
        <v>143</v>
      </c>
    </row>
    <row r="7" spans="1:15" x14ac:dyDescent="0.2">
      <c r="B7" s="2" t="s">
        <v>144</v>
      </c>
      <c r="C7" s="2"/>
      <c r="D7" s="2"/>
      <c r="E7" s="2"/>
      <c r="H7" s="7"/>
      <c r="I7" s="7">
        <f>'[3]MTFF  Force'!B99-'[3]MTFF  Force'!B101-'[3]MTFF  Force'!B102+1</f>
        <v>418680.44051458157</v>
      </c>
      <c r="L7" s="7"/>
      <c r="M7" s="7"/>
    </row>
    <row r="8" spans="1:15" x14ac:dyDescent="0.2">
      <c r="B8" s="2"/>
      <c r="C8" s="2"/>
      <c r="D8" s="2"/>
      <c r="E8" s="2"/>
      <c r="H8" s="7"/>
      <c r="I8" s="7"/>
      <c r="L8" s="7"/>
      <c r="M8" s="7"/>
      <c r="N8" s="7"/>
    </row>
    <row r="9" spans="1:15" x14ac:dyDescent="0.2">
      <c r="B9" s="2"/>
      <c r="C9" s="2"/>
      <c r="D9" s="2"/>
      <c r="E9" s="2"/>
      <c r="H9" s="7"/>
      <c r="I9" s="7"/>
      <c r="L9" s="7"/>
      <c r="M9" s="7"/>
    </row>
    <row r="10" spans="1:15" x14ac:dyDescent="0.2">
      <c r="B10" s="2"/>
      <c r="C10" s="2"/>
      <c r="D10" s="2"/>
      <c r="E10" s="2"/>
      <c r="H10" s="7"/>
      <c r="I10" s="7"/>
      <c r="M10" s="7"/>
    </row>
    <row r="11" spans="1:15" x14ac:dyDescent="0.2">
      <c r="B11" s="1" t="s">
        <v>145</v>
      </c>
      <c r="H11" s="7" t="s">
        <v>0</v>
      </c>
      <c r="I11" s="7"/>
    </row>
    <row r="12" spans="1:15" x14ac:dyDescent="0.2">
      <c r="A12" s="112"/>
      <c r="B12" s="1" t="s">
        <v>146</v>
      </c>
      <c r="H12" s="7"/>
      <c r="I12" s="7"/>
    </row>
    <row r="13" spans="1:15" x14ac:dyDescent="0.2">
      <c r="B13" s="1" t="s">
        <v>147</v>
      </c>
      <c r="H13" s="10">
        <f>'[4]Appendix B'!Z13+'[4]Appendix B'!Z14+'[4]Appendix B'!Z16</f>
        <v>2386.7197780944271</v>
      </c>
      <c r="I13" s="10"/>
      <c r="J13" s="113"/>
      <c r="K13" s="11"/>
      <c r="L13" s="114"/>
      <c r="M13" s="7"/>
    </row>
    <row r="14" spans="1:15" x14ac:dyDescent="0.2">
      <c r="B14" s="1" t="s">
        <v>106</v>
      </c>
      <c r="H14" s="10">
        <f>'[4]Appendix B'!Z15+'[4]Appendix B'!Z17+5</f>
        <v>1547.635032766394</v>
      </c>
      <c r="I14" s="10"/>
      <c r="J14" s="113"/>
      <c r="K14" s="11"/>
      <c r="L14" s="114"/>
      <c r="M14" s="7"/>
    </row>
    <row r="15" spans="1:15" x14ac:dyDescent="0.2">
      <c r="B15" s="1" t="s">
        <v>148</v>
      </c>
      <c r="H15" s="115">
        <f>'[4]Appendix B'!Z46+'[4]Appendix B'!Z68+'[4]Appendix B'!Z87</f>
        <v>3011.5620484999995</v>
      </c>
      <c r="I15" s="10">
        <f>SUM(H13:H15)</f>
        <v>6945.916859360821</v>
      </c>
      <c r="J15" s="113">
        <f>+I15/$I$7%</f>
        <v>1.6590019946534649</v>
      </c>
      <c r="K15" s="11"/>
      <c r="L15" s="7"/>
      <c r="M15" s="7"/>
      <c r="O15" s="7"/>
    </row>
    <row r="16" spans="1:15" x14ac:dyDescent="0.2">
      <c r="H16" s="10"/>
      <c r="I16" s="10"/>
      <c r="J16" s="113"/>
      <c r="K16" s="11"/>
      <c r="L16" s="114"/>
    </row>
    <row r="17" spans="1:15" x14ac:dyDescent="0.2">
      <c r="H17" s="10"/>
      <c r="I17" s="10"/>
      <c r="J17" s="113"/>
      <c r="K17" s="11"/>
      <c r="L17" s="114"/>
    </row>
    <row r="18" spans="1:15" x14ac:dyDescent="0.2">
      <c r="A18" s="112"/>
      <c r="B18" s="1" t="s">
        <v>149</v>
      </c>
      <c r="H18" s="10"/>
      <c r="I18" s="10"/>
      <c r="J18" s="113"/>
      <c r="K18" s="11"/>
      <c r="L18" s="114"/>
    </row>
    <row r="19" spans="1:15" x14ac:dyDescent="0.2">
      <c r="B19" s="1" t="s">
        <v>150</v>
      </c>
      <c r="H19" s="10">
        <f>'[3]NON DEV NON DEL '!AM56+'[3]NON DEV NON DEL '!J56</f>
        <v>2584</v>
      </c>
      <c r="I19" s="10"/>
      <c r="J19" s="113"/>
      <c r="K19" s="11"/>
      <c r="L19" s="116"/>
      <c r="M19" s="10"/>
      <c r="N19" s="7" t="s">
        <v>0</v>
      </c>
    </row>
    <row r="20" spans="1:15" x14ac:dyDescent="0.2">
      <c r="B20" s="1" t="s">
        <v>151</v>
      </c>
      <c r="H20" s="115">
        <v>0</v>
      </c>
      <c r="I20" s="10">
        <f>SUM(H19:H20)</f>
        <v>2584</v>
      </c>
      <c r="J20" s="113">
        <f>+I20/$I$7%</f>
        <v>0.61717714752189523</v>
      </c>
      <c r="K20" s="11"/>
      <c r="L20" s="10"/>
      <c r="M20" s="10"/>
      <c r="N20" s="7"/>
      <c r="O20" s="7"/>
    </row>
    <row r="21" spans="1:15" x14ac:dyDescent="0.2">
      <c r="H21" s="10"/>
      <c r="I21" s="10"/>
      <c r="J21" s="113"/>
      <c r="K21" s="11"/>
      <c r="L21" s="114"/>
    </row>
    <row r="22" spans="1:15" x14ac:dyDescent="0.2">
      <c r="A22" s="112"/>
      <c r="B22" s="1" t="s">
        <v>152</v>
      </c>
      <c r="H22" s="10"/>
      <c r="I22" s="10"/>
      <c r="J22" s="113"/>
      <c r="K22" s="11"/>
      <c r="L22" s="114"/>
    </row>
    <row r="23" spans="1:15" x14ac:dyDescent="0.2">
      <c r="A23" s="112"/>
      <c r="B23" s="1" t="s">
        <v>153</v>
      </c>
      <c r="H23" s="10">
        <f>'[3]DEVOLVED AND DEL INC TRAIN'!AK51+'[3]DEVOLVED AND DEL INC TRAIN'!AK31</f>
        <v>6585</v>
      </c>
      <c r="I23" s="10"/>
      <c r="J23" s="113"/>
      <c r="K23" s="11"/>
      <c r="L23" s="114"/>
      <c r="M23" s="7"/>
      <c r="N23" s="7"/>
    </row>
    <row r="24" spans="1:15" x14ac:dyDescent="0.2">
      <c r="A24" s="112"/>
      <c r="B24" s="1" t="s">
        <v>154</v>
      </c>
      <c r="H24" s="10">
        <f>'[4]Appendix A'!G82-'[4]Appendix A'!F82</f>
        <v>3704.2438333333339</v>
      </c>
      <c r="I24" s="10"/>
      <c r="J24" s="113"/>
      <c r="K24" s="11"/>
      <c r="L24" s="114"/>
      <c r="M24" s="7"/>
      <c r="N24" s="7"/>
    </row>
    <row r="25" spans="1:15" x14ac:dyDescent="0.2">
      <c r="A25" s="112"/>
      <c r="B25" s="3" t="s">
        <v>155</v>
      </c>
      <c r="H25" s="10">
        <v>1943</v>
      </c>
      <c r="I25" s="10"/>
      <c r="J25" s="113"/>
      <c r="K25" s="11"/>
      <c r="L25" s="114"/>
      <c r="M25" s="7"/>
      <c r="N25" s="7"/>
    </row>
    <row r="26" spans="1:15" x14ac:dyDescent="0.2">
      <c r="A26" s="112"/>
      <c r="B26" s="3" t="s">
        <v>156</v>
      </c>
      <c r="H26" s="10">
        <f>'[3]DEVOLVED AND DEL INC TRAIN'!AM51+'[3]DEVOLVED AND DEL INC TRAIN'!AM33</f>
        <v>1000</v>
      </c>
      <c r="I26" s="10"/>
      <c r="J26" s="113"/>
      <c r="K26" s="11"/>
      <c r="L26" s="114"/>
      <c r="M26" s="7"/>
      <c r="N26" s="7"/>
    </row>
    <row r="27" spans="1:15" x14ac:dyDescent="0.2">
      <c r="B27" s="1" t="s">
        <v>157</v>
      </c>
      <c r="H27" s="10">
        <v>233</v>
      </c>
      <c r="I27" s="10"/>
      <c r="J27" s="113"/>
      <c r="K27" s="11"/>
      <c r="L27" s="114"/>
      <c r="M27" s="7"/>
      <c r="N27" s="7"/>
    </row>
    <row r="28" spans="1:15" x14ac:dyDescent="0.2">
      <c r="B28" s="1" t="s">
        <v>158</v>
      </c>
      <c r="H28" s="10">
        <f>'[3]DEVOLVED AND DEL INC TRAIN'!AO39</f>
        <v>600</v>
      </c>
      <c r="I28" s="10"/>
      <c r="J28" s="113"/>
      <c r="K28" s="11"/>
      <c r="L28" s="114"/>
      <c r="M28" s="7"/>
      <c r="N28" s="7"/>
    </row>
    <row r="29" spans="1:15" x14ac:dyDescent="0.2">
      <c r="B29" s="3" t="s">
        <v>159</v>
      </c>
      <c r="H29" s="10">
        <f>'[3]NON DEV NON DEL '!AL69</f>
        <v>679</v>
      </c>
      <c r="I29" s="10"/>
      <c r="J29" s="113"/>
      <c r="K29" s="11"/>
      <c r="L29" s="114"/>
      <c r="M29" s="7"/>
      <c r="N29" s="7"/>
    </row>
    <row r="30" spans="1:15" x14ac:dyDescent="0.2">
      <c r="B30" s="3" t="s">
        <v>160</v>
      </c>
      <c r="H30" s="10">
        <f>'[3]DEVOLVED AND DEL INC TRAIN'!AM48</f>
        <v>1500</v>
      </c>
      <c r="I30" s="10"/>
      <c r="J30" s="113"/>
      <c r="K30" s="11"/>
      <c r="L30" s="114"/>
      <c r="M30" s="7"/>
      <c r="N30" s="7"/>
    </row>
    <row r="31" spans="1:15" x14ac:dyDescent="0.2">
      <c r="B31" s="3" t="s">
        <v>161</v>
      </c>
      <c r="H31" s="10">
        <f>'[3]NON DEV NON DEL '!AL102</f>
        <v>240</v>
      </c>
      <c r="I31" s="10"/>
      <c r="J31" s="113"/>
      <c r="K31" s="11"/>
      <c r="L31" s="114"/>
      <c r="M31" s="7"/>
      <c r="N31" s="7"/>
    </row>
    <row r="32" spans="1:15" x14ac:dyDescent="0.2">
      <c r="B32" s="121" t="s">
        <v>162</v>
      </c>
      <c r="C32" s="122"/>
      <c r="D32" s="122"/>
      <c r="E32" s="122"/>
      <c r="F32" s="122"/>
      <c r="G32" s="122"/>
      <c r="H32" s="115">
        <f>'[3]DEVOLVED AND DEL INC TRAIN'!AM39+'[3]DEVOLVED AND DEL INC TRAIN'!AM59+'[3]DEVOLVED AND DEL INC TRAIN'!AM83+'[3]DEVOLVED AND DEL INC TRAIN'!AM97+'[3]DEVOLVED AND DEL INC TRAIN'!AM99+'[3]DEVOLVED AND DEL INC TRAIN'!AM133+'[3]DEVOLVED AND DEL INC TRAIN'!AM143+'[3]DEVOLVED AND DEL INC TRAIN'!AM146+'[3]DEVOLVED AND DEL INC TRAIN'!AM160+'[3]DEVOLVED AND DEL INC TRAIN'!AM178+'[3]DEVOLVED AND DEL INC TRAIN'!AM195+'[3]DEVOLVED AND DEL INC TRAIN'!AM199+30</f>
        <v>934</v>
      </c>
      <c r="I32" s="10">
        <f>SUM(H23:H32)</f>
        <v>17418.243833333334</v>
      </c>
      <c r="J32" s="113">
        <f>+I32/$I$7%</f>
        <v>4.1602716888148255</v>
      </c>
      <c r="K32" s="11"/>
      <c r="L32" s="7"/>
      <c r="M32" s="7"/>
    </row>
    <row r="33" spans="1:14" x14ac:dyDescent="0.2">
      <c r="B33" s="122"/>
      <c r="C33" s="122"/>
      <c r="D33" s="122"/>
      <c r="E33" s="122"/>
      <c r="F33" s="122"/>
      <c r="G33" s="122"/>
      <c r="H33" s="11"/>
      <c r="I33" s="10"/>
      <c r="J33" s="113"/>
      <c r="K33" s="11"/>
      <c r="M33" s="7"/>
    </row>
    <row r="34" spans="1:14" ht="15" x14ac:dyDescent="0.25">
      <c r="B34" s="117"/>
      <c r="C34" s="117"/>
      <c r="D34" s="117"/>
      <c r="E34" s="117"/>
      <c r="F34" s="117"/>
      <c r="G34" s="117"/>
      <c r="H34" s="11"/>
      <c r="I34" s="10"/>
      <c r="J34" s="113"/>
      <c r="K34" s="11"/>
      <c r="M34" s="7"/>
    </row>
    <row r="35" spans="1:14" x14ac:dyDescent="0.2">
      <c r="A35" s="112"/>
      <c r="B35" s="1" t="s">
        <v>163</v>
      </c>
      <c r="H35" s="10"/>
      <c r="I35" s="10"/>
      <c r="J35" s="113"/>
      <c r="K35" s="11"/>
      <c r="M35" s="7"/>
    </row>
    <row r="36" spans="1:14" x14ac:dyDescent="0.2">
      <c r="B36" s="1" t="s">
        <v>164</v>
      </c>
      <c r="H36" s="10">
        <f>'[3]NON DEV NON DEL '!AM112</f>
        <v>-850</v>
      </c>
      <c r="I36" s="10">
        <f>H36</f>
        <v>-850</v>
      </c>
      <c r="J36" s="113">
        <f>+I36/$I$7%</f>
        <v>-0.20301879852693924</v>
      </c>
      <c r="K36" s="11"/>
      <c r="L36" s="7"/>
      <c r="M36" s="7"/>
    </row>
    <row r="37" spans="1:14" x14ac:dyDescent="0.2">
      <c r="H37" s="10"/>
      <c r="I37" s="10"/>
      <c r="J37" s="113"/>
      <c r="K37" s="11"/>
      <c r="L37" s="7"/>
      <c r="M37" s="7"/>
    </row>
    <row r="38" spans="1:14" x14ac:dyDescent="0.2">
      <c r="B38" s="1" t="s">
        <v>165</v>
      </c>
      <c r="H38" s="118"/>
      <c r="I38" s="10"/>
      <c r="J38" s="113"/>
      <c r="K38" s="11"/>
      <c r="M38" s="7"/>
      <c r="N38" s="7"/>
    </row>
    <row r="39" spans="1:14" x14ac:dyDescent="0.2">
      <c r="B39" s="1" t="s">
        <v>166</v>
      </c>
      <c r="H39" s="115">
        <v>1750</v>
      </c>
      <c r="I39" s="10">
        <f>SUM(H39:H40)</f>
        <v>1750</v>
      </c>
      <c r="J39" s="113">
        <f>+I39/$I$7%</f>
        <v>0.417979879320169</v>
      </c>
      <c r="K39" s="11"/>
      <c r="M39" s="7"/>
      <c r="N39" s="7"/>
    </row>
    <row r="40" spans="1:14" x14ac:dyDescent="0.2">
      <c r="B40" s="1" t="s">
        <v>0</v>
      </c>
      <c r="H40" s="118"/>
      <c r="K40" s="11"/>
      <c r="L40" s="7"/>
      <c r="M40" s="7"/>
      <c r="N40" s="7"/>
    </row>
    <row r="41" spans="1:14" x14ac:dyDescent="0.2">
      <c r="H41" s="118"/>
      <c r="I41" s="10"/>
      <c r="J41" s="113"/>
      <c r="K41" s="11"/>
      <c r="M41" s="7"/>
      <c r="N41" s="7"/>
    </row>
    <row r="42" spans="1:14" x14ac:dyDescent="0.2">
      <c r="B42" s="1" t="s">
        <v>167</v>
      </c>
      <c r="H42" s="118"/>
      <c r="I42" s="10"/>
      <c r="J42" s="113"/>
      <c r="K42" s="11"/>
      <c r="M42" s="7"/>
      <c r="N42" s="7"/>
    </row>
    <row r="43" spans="1:14" x14ac:dyDescent="0.2">
      <c r="B43" s="1" t="s">
        <v>168</v>
      </c>
      <c r="H43" s="10">
        <v>1098</v>
      </c>
      <c r="K43" s="11"/>
      <c r="M43" s="7"/>
      <c r="N43" s="7"/>
    </row>
    <row r="44" spans="1:14" x14ac:dyDescent="0.2">
      <c r="B44" s="3" t="s">
        <v>169</v>
      </c>
      <c r="H44" s="10">
        <f>'[3]DEVOLVED AND DEL INC TRAIN'!AM268</f>
        <v>467</v>
      </c>
      <c r="I44" s="10"/>
      <c r="J44" s="113"/>
      <c r="K44" s="11"/>
      <c r="M44" s="7"/>
      <c r="N44" s="7"/>
    </row>
    <row r="45" spans="1:14" x14ac:dyDescent="0.2">
      <c r="B45" s="3" t="s">
        <v>170</v>
      </c>
      <c r="H45" s="10">
        <f>'[3]DEVOLVED AND DEL INC TRAIN'!AM241</f>
        <v>120</v>
      </c>
      <c r="I45" s="10">
        <f>SUM(H43:H46)</f>
        <v>1685</v>
      </c>
      <c r="J45" s="113">
        <f>+I45/$I$7%</f>
        <v>0.40245491237399134</v>
      </c>
      <c r="K45" s="11"/>
      <c r="M45" s="7"/>
      <c r="N45" s="7"/>
    </row>
    <row r="46" spans="1:14" x14ac:dyDescent="0.2">
      <c r="H46" s="10"/>
      <c r="I46" s="11"/>
      <c r="J46" s="113"/>
      <c r="K46" s="11"/>
      <c r="M46" s="7"/>
    </row>
    <row r="47" spans="1:14" x14ac:dyDescent="0.2">
      <c r="A47" s="112"/>
      <c r="H47" s="10"/>
      <c r="I47" s="10"/>
      <c r="J47" s="113"/>
      <c r="K47" s="11"/>
      <c r="M47" s="7"/>
      <c r="N47" s="7"/>
    </row>
    <row r="48" spans="1:14" x14ac:dyDescent="0.2">
      <c r="A48" s="112"/>
      <c r="B48" s="1" t="s">
        <v>171</v>
      </c>
      <c r="H48" s="10"/>
      <c r="I48" s="10" t="s">
        <v>0</v>
      </c>
      <c r="J48" s="113" t="s">
        <v>0</v>
      </c>
      <c r="K48" s="11"/>
      <c r="M48" s="7"/>
    </row>
    <row r="49" spans="1:14" x14ac:dyDescent="0.2">
      <c r="A49" s="112"/>
      <c r="B49" s="3" t="s">
        <v>172</v>
      </c>
      <c r="H49" s="10">
        <f>'[4]Appendix B'!V97</f>
        <v>-15770</v>
      </c>
      <c r="I49" s="10"/>
      <c r="J49" s="113"/>
      <c r="K49" s="11"/>
      <c r="L49" s="11"/>
      <c r="M49" s="10"/>
      <c r="N49" s="11"/>
    </row>
    <row r="50" spans="1:14" x14ac:dyDescent="0.2">
      <c r="A50" s="112"/>
      <c r="B50" s="1" t="s">
        <v>173</v>
      </c>
      <c r="H50" s="10">
        <f>'[3]DEVOLVED AND DEL INC TRAIN'!AS291+'[3]NON DEV NON DEL '!AR120-H51</f>
        <v>-23369.85</v>
      </c>
      <c r="I50" s="10"/>
      <c r="J50" s="113"/>
      <c r="K50" s="11"/>
      <c r="L50" s="10"/>
      <c r="M50" s="10"/>
      <c r="N50" s="11"/>
    </row>
    <row r="51" spans="1:14" x14ac:dyDescent="0.2">
      <c r="A51" s="112"/>
      <c r="B51" s="1" t="s">
        <v>174</v>
      </c>
      <c r="H51" s="10">
        <f>'[3]NON DEV NON DEL '!AR99+'[3]NON DEV NON DEL '!AR67+'[3]NON DEV NON DEL '!AR64</f>
        <v>-820</v>
      </c>
      <c r="I51" s="7">
        <f>SUM(H49:H54)</f>
        <v>-39959.85</v>
      </c>
      <c r="J51" s="111">
        <f>+I51/$I$7%</f>
        <v>-9.5442361603726038</v>
      </c>
      <c r="K51" s="11"/>
      <c r="L51" s="10"/>
      <c r="M51" s="10"/>
      <c r="N51" s="11"/>
    </row>
    <row r="52" spans="1:14" x14ac:dyDescent="0.2">
      <c r="A52" s="112"/>
      <c r="H52" s="115"/>
      <c r="K52" s="11"/>
      <c r="L52" s="10"/>
      <c r="M52" s="10"/>
      <c r="N52" s="11"/>
    </row>
    <row r="53" spans="1:14" x14ac:dyDescent="0.2">
      <c r="A53" s="112"/>
      <c r="B53" s="1" t="s">
        <v>0</v>
      </c>
      <c r="H53" s="10"/>
      <c r="L53" s="7"/>
      <c r="M53" s="7"/>
    </row>
    <row r="54" spans="1:14" x14ac:dyDescent="0.2">
      <c r="A54" s="112"/>
      <c r="H54" s="10"/>
      <c r="I54" s="7"/>
      <c r="M54" s="7"/>
    </row>
    <row r="55" spans="1:14" x14ac:dyDescent="0.2">
      <c r="A55" s="112"/>
      <c r="B55" s="1" t="s">
        <v>175</v>
      </c>
      <c r="H55" s="7">
        <v>-77</v>
      </c>
      <c r="I55" s="7">
        <f>H55</f>
        <v>-77</v>
      </c>
      <c r="J55" s="111">
        <f>+I55/$I$7%</f>
        <v>-1.8391114690087435E-2</v>
      </c>
      <c r="L55" s="7"/>
      <c r="M55" s="7"/>
    </row>
    <row r="56" spans="1:14" x14ac:dyDescent="0.2">
      <c r="A56" s="112"/>
      <c r="H56" s="7"/>
      <c r="I56" s="7"/>
      <c r="M56" s="7"/>
    </row>
    <row r="57" spans="1:14" x14ac:dyDescent="0.2">
      <c r="H57" s="7"/>
    </row>
    <row r="58" spans="1:14" x14ac:dyDescent="0.2">
      <c r="A58" s="2"/>
      <c r="B58" s="2" t="s">
        <v>176</v>
      </c>
      <c r="C58" s="2"/>
      <c r="D58" s="2"/>
      <c r="E58" s="2"/>
      <c r="F58" s="2"/>
      <c r="G58" s="2"/>
      <c r="H58" s="6"/>
      <c r="I58" s="6">
        <f>SUM(I7:I57)</f>
        <v>408176.75120727572</v>
      </c>
      <c r="J58" s="111">
        <f>+(I58-I7)/$I$7%</f>
        <v>-2.5087604509052839</v>
      </c>
      <c r="L58" s="7"/>
      <c r="M58" s="7"/>
    </row>
    <row r="59" spans="1:14" x14ac:dyDescent="0.2">
      <c r="I59" s="7"/>
    </row>
    <row r="60" spans="1:14" x14ac:dyDescent="0.2">
      <c r="B60" s="1" t="s">
        <v>0</v>
      </c>
      <c r="I60" s="7"/>
    </row>
    <row r="61" spans="1:14" x14ac:dyDescent="0.2">
      <c r="A61" s="112"/>
      <c r="B61" s="1" t="s">
        <v>177</v>
      </c>
      <c r="H61" s="10"/>
      <c r="I61" s="10" t="s">
        <v>0</v>
      </c>
      <c r="J61" s="113" t="s">
        <v>0</v>
      </c>
      <c r="K61" s="11"/>
      <c r="M61" s="7"/>
      <c r="N61" s="7"/>
    </row>
    <row r="62" spans="1:14" x14ac:dyDescent="0.2">
      <c r="A62" s="112"/>
      <c r="B62" s="1" t="s">
        <v>178</v>
      </c>
      <c r="H62" s="10">
        <v>-1750</v>
      </c>
      <c r="I62" s="10"/>
      <c r="J62" s="113"/>
      <c r="K62" s="11"/>
      <c r="M62" s="7"/>
      <c r="N62" s="7"/>
    </row>
    <row r="63" spans="1:14" x14ac:dyDescent="0.2">
      <c r="A63" s="112"/>
      <c r="B63" s="1" t="s">
        <v>179</v>
      </c>
      <c r="H63" s="115">
        <v>-1098</v>
      </c>
      <c r="I63" s="10">
        <f>SUM(H62:H63)</f>
        <v>-2848</v>
      </c>
      <c r="J63" s="113"/>
      <c r="K63" s="11"/>
      <c r="M63" s="7"/>
      <c r="N63" s="7"/>
    </row>
    <row r="65" spans="2:13" x14ac:dyDescent="0.2">
      <c r="E65" s="67"/>
      <c r="F65" s="9"/>
      <c r="G65" s="9"/>
      <c r="H65" s="9"/>
      <c r="I65" s="9"/>
      <c r="J65" s="9"/>
      <c r="K65" s="9"/>
      <c r="L65" s="8"/>
      <c r="M65" s="5"/>
    </row>
    <row r="66" spans="2:13" x14ac:dyDescent="0.2">
      <c r="B66" s="3" t="s">
        <v>180</v>
      </c>
      <c r="I66" s="7">
        <f>-'[4]Appendix B'!AB104</f>
        <v>-319256.41200000001</v>
      </c>
      <c r="J66" s="119"/>
    </row>
    <row r="67" spans="2:13" x14ac:dyDescent="0.2">
      <c r="B67" s="3" t="s">
        <v>181</v>
      </c>
      <c r="I67" s="7">
        <f>-('[4]Appendix B'!AB113+'[4]Appendix B'!AB105)</f>
        <v>-86072.819432541044</v>
      </c>
    </row>
    <row r="69" spans="2:13" s="2" customFormat="1" x14ac:dyDescent="0.2">
      <c r="B69" s="2" t="s">
        <v>182</v>
      </c>
      <c r="I69" s="6">
        <f>SUM(I63:I68)</f>
        <v>-408177.23143254104</v>
      </c>
      <c r="J69" s="120"/>
    </row>
    <row r="72" spans="2:13" x14ac:dyDescent="0.2">
      <c r="I72" s="7"/>
    </row>
  </sheetData>
  <mergeCells count="1">
    <mergeCell ref="B32:G33"/>
  </mergeCell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p:Policy xmlns:p="office.server.policy" id="" local="true">
  <p:Name>Expiration Policy</p:Name>
  <p:Description/>
  <p:Statement/>
  <p:PolicyItems>
    <p:PolicyItem featureId="Microsoft.Office.RecordsManagement.PolicyFeatures.Expiration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number>7</number>
            <property>Last_x0020_Review_x0020_Date</property>
            <period>years</period>
          </formula>
          <action type="workflow" id="29766857-7566-4549-8640-e29807ee9d83"/>
        </data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316FCF5F64740A5B591D01EEC9D07" ma:contentTypeVersion="1" ma:contentTypeDescription="Create a new document." ma:contentTypeScope="" ma:versionID="a08b3e75a23c1d31ae00e5530fcf90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77D726-57C5-4DE8-8C2F-8A4BF963BF54}"/>
</file>

<file path=customXml/itemProps2.xml><?xml version="1.0" encoding="utf-8"?>
<ds:datastoreItem xmlns:ds="http://schemas.openxmlformats.org/officeDocument/2006/customXml" ds:itemID="{0D3BD641-1765-461D-A055-7A182768282F}"/>
</file>

<file path=customXml/itemProps3.xml><?xml version="1.0" encoding="utf-8"?>
<ds:datastoreItem xmlns:ds="http://schemas.openxmlformats.org/officeDocument/2006/customXml" ds:itemID="{950575EA-A7E9-4F70-9477-5FEFA78E958B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577D726-57C5-4DE8-8C2F-8A4BF963BF5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30227D0-D9C6-4DA3-9036-FCC59184E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B</vt:lpstr>
      <vt:lpstr>Appendix C</vt:lpstr>
      <vt:lpstr>Appendix D</vt:lpstr>
      <vt:lpstr>'Appendix C'!Print_Titles</vt:lpstr>
    </vt:vector>
  </TitlesOfParts>
  <Company>West Yorkshire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4 - Precept Proposal 2015-16 Appendices B to D</dc:title>
  <dc:creator>cliacc</dc:creator>
  <cp:lastModifiedBy>Duckett, Emma</cp:lastModifiedBy>
  <cp:lastPrinted>2015-01-30T13:42:45Z</cp:lastPrinted>
  <dcterms:created xsi:type="dcterms:W3CDTF">2015-01-23T11:48:56Z</dcterms:created>
  <dcterms:modified xsi:type="dcterms:W3CDTF">2015-01-30T15:22:47Z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0x0101002E9316FCF5F64740A5B591D01EEC9D07</vt:lpwstr>
  </property>
</Properties>
</file>