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1"/>
  </bookViews>
  <sheets>
    <sheet name="Appendix B" sheetId="1" r:id="rId1"/>
    <sheet name="Appendix C " sheetId="2" r:id="rId2"/>
    <sheet name="Appendix A" sheetId="3" r:id="rId3"/>
  </sheets>
  <externalReferences>
    <externalReference r:id="rId6"/>
  </externalReferences>
  <definedNames>
    <definedName name="_xlnm.Print_Area" localSheetId="2">'Appendix A'!$A$1:$Z$106</definedName>
    <definedName name="_xlnm.Print_Titles" localSheetId="2">'Appendix A'!$6:$9</definedName>
  </definedNames>
  <calcPr fullCalcOnLoad="1"/>
</workbook>
</file>

<file path=xl/comments1.xml><?xml version="1.0" encoding="utf-8"?>
<comments xmlns="http://schemas.openxmlformats.org/spreadsheetml/2006/main">
  <authors>
    <author>725857</author>
  </authors>
  <commentList>
    <comment ref="BQ24" authorId="0">
      <text>
        <r>
          <rPr>
            <b/>
            <sz val="8"/>
            <rFont val="Tahoma"/>
            <family val="0"/>
          </rPr>
          <t>725857:</t>
        </r>
        <r>
          <rPr>
            <sz val="8"/>
            <rFont val="Tahoma"/>
            <family val="0"/>
          </rPr>
          <t xml:space="preserve">
MS requested  £3.8m in total
</t>
        </r>
      </text>
    </comment>
    <comment ref="BR41" authorId="0">
      <text>
        <r>
          <rPr>
            <b/>
            <sz val="8"/>
            <rFont val="Tahoma"/>
            <family val="0"/>
          </rPr>
          <t>725857:</t>
        </r>
        <r>
          <rPr>
            <sz val="8"/>
            <rFont val="Tahoma"/>
            <family val="0"/>
          </rPr>
          <t xml:space="preserve">
Increased by £400k for the add work as per M. Stubbs</t>
        </r>
      </text>
    </comment>
    <comment ref="BT100" authorId="0">
      <text>
        <r>
          <rPr>
            <b/>
            <sz val="8"/>
            <rFont val="Tahoma"/>
            <family val="0"/>
          </rPr>
          <t>725857:</t>
        </r>
        <r>
          <rPr>
            <sz val="8"/>
            <rFont val="Tahoma"/>
            <family val="0"/>
          </rPr>
          <t xml:space="preserve">
Malcom to forward on when budget figure known</t>
        </r>
      </text>
    </comment>
    <comment ref="BQ122" authorId="0">
      <text>
        <r>
          <rPr>
            <b/>
            <sz val="8"/>
            <rFont val="Tahoma"/>
            <family val="0"/>
          </rPr>
          <t>725857:</t>
        </r>
        <r>
          <rPr>
            <sz val="8"/>
            <rFont val="Tahoma"/>
            <family val="0"/>
          </rPr>
          <t xml:space="preserve">
changed from 3405 to 2800 as per ST, then to 2515 as per ST
</t>
        </r>
      </text>
    </comment>
    <comment ref="BT122" authorId="0">
      <text>
        <r>
          <rPr>
            <b/>
            <sz val="8"/>
            <rFont val="Tahoma"/>
            <family val="0"/>
          </rPr>
          <t>725857:</t>
        </r>
        <r>
          <rPr>
            <sz val="8"/>
            <rFont val="Tahoma"/>
            <family val="0"/>
          </rPr>
          <t xml:space="preserve">
changed from 3220 to 2500 as per ST, then to 2388 as per ST</t>
        </r>
      </text>
    </comment>
    <comment ref="BU122" authorId="0">
      <text>
        <r>
          <rPr>
            <b/>
            <sz val="8"/>
            <rFont val="Tahoma"/>
            <family val="0"/>
          </rPr>
          <t>725857:</t>
        </r>
        <r>
          <rPr>
            <sz val="8"/>
            <rFont val="Tahoma"/>
            <family val="0"/>
          </rPr>
          <t xml:space="preserve">
changed from 3317 to 2650 as per ST</t>
        </r>
      </text>
    </comment>
    <comment ref="BV122" authorId="0">
      <text>
        <r>
          <rPr>
            <b/>
            <sz val="8"/>
            <rFont val="Tahoma"/>
            <family val="0"/>
          </rPr>
          <t>725857:</t>
        </r>
        <r>
          <rPr>
            <sz val="8"/>
            <rFont val="Tahoma"/>
            <family val="0"/>
          </rPr>
          <t xml:space="preserve">
15/16 figure plus 4% as per ST, then to 2644 as per ST</t>
        </r>
      </text>
    </comment>
  </commentList>
</comments>
</file>

<file path=xl/sharedStrings.xml><?xml version="1.0" encoding="utf-8"?>
<sst xmlns="http://schemas.openxmlformats.org/spreadsheetml/2006/main" count="467" uniqueCount="309">
  <si>
    <t xml:space="preserve">            PFI CAPITAL IMPLICATIONS</t>
  </si>
  <si>
    <t xml:space="preserve">DRAFT CAPITAL FORECAST 2012/13 TO 2016/17 </t>
  </si>
  <si>
    <t>OFFICE OF THE P.C.C.</t>
  </si>
  <si>
    <t>£m</t>
  </si>
  <si>
    <t>OPENING BALANCE</t>
  </si>
  <si>
    <t>TOTALS</t>
  </si>
  <si>
    <t>RISK BASED ASSESSMENT</t>
  </si>
  <si>
    <t>GENERAL BALANCES SUMMARY - 2012/13 TO 2016/17</t>
  </si>
  <si>
    <t>Transfer from Viper Reserve</t>
  </si>
  <si>
    <t>Forecast underspend 2012/13</t>
  </si>
  <si>
    <t>Planned use in year</t>
  </si>
  <si>
    <t>2012/13</t>
  </si>
  <si>
    <t>2013/14</t>
  </si>
  <si>
    <t>2014/15</t>
  </si>
  <si>
    <t>2015/16</t>
  </si>
  <si>
    <t>2016/17</t>
  </si>
  <si>
    <t>£000</t>
  </si>
  <si>
    <t xml:space="preserve"> </t>
  </si>
  <si>
    <t>TOTAL FUNDING</t>
  </si>
  <si>
    <t>APPENDIX A</t>
  </si>
  <si>
    <t>Debt Charges</t>
  </si>
  <si>
    <t>Other</t>
  </si>
  <si>
    <t>Police Allowances</t>
  </si>
  <si>
    <t>Capital Financing Reserve *</t>
  </si>
  <si>
    <t>* Use of an additional planned underspending of £1.8m in 2012/13 to create a Capital Financing Reserve</t>
  </si>
  <si>
    <t>APPENDIX B</t>
  </si>
  <si>
    <t>PA APPROVED</t>
  </si>
  <si>
    <t>CAPITAL FORECAST 2010/11 TO 2013/14</t>
  </si>
  <si>
    <t>SEPT</t>
  </si>
  <si>
    <t>ORIGINAL</t>
  </si>
  <si>
    <t>SLIPPAGE</t>
  </si>
  <si>
    <t>TOTAL</t>
  </si>
  <si>
    <t>REVISED</t>
  </si>
  <si>
    <t>BUDGET</t>
  </si>
  <si>
    <t xml:space="preserve">SLIPPAGE </t>
  </si>
  <si>
    <t xml:space="preserve">REVISED </t>
  </si>
  <si>
    <t xml:space="preserve">Revised </t>
  </si>
  <si>
    <t>SLIPPED</t>
  </si>
  <si>
    <t>FORECAST</t>
  </si>
  <si>
    <t xml:space="preserve">APPROVED </t>
  </si>
  <si>
    <t>VIREMENTS</t>
  </si>
  <si>
    <t>VIREMENT</t>
  </si>
  <si>
    <t>ADDITIONAL</t>
  </si>
  <si>
    <t xml:space="preserve">SLIPPED </t>
  </si>
  <si>
    <t>SAVINGS</t>
  </si>
  <si>
    <t>APPROVED</t>
  </si>
  <si>
    <t>BUSINESS</t>
  </si>
  <si>
    <t>SCHEMES</t>
  </si>
  <si>
    <t>Virement</t>
  </si>
  <si>
    <t>Savings</t>
  </si>
  <si>
    <t>Additional funds</t>
  </si>
  <si>
    <t>Movements 02/12/10</t>
  </si>
  <si>
    <t>Rephasing</t>
  </si>
  <si>
    <t>Slipped</t>
  </si>
  <si>
    <t>ANNUAL BUDGET 2011/12</t>
  </si>
  <si>
    <t>2011/12 SLIPPAGE</t>
  </si>
  <si>
    <t>REVISED BUDGET 2011/12</t>
  </si>
  <si>
    <t>ORIGINAL BUDGET 2012/13</t>
  </si>
  <si>
    <t>SLIPPPAGE FROM 2011/12</t>
  </si>
  <si>
    <t>NEW GRANTS 2012/13</t>
  </si>
  <si>
    <t>BUDGET MOVEMENTS 2012/13</t>
  </si>
  <si>
    <t>SAVING</t>
  </si>
  <si>
    <t>BUDGET 2012/13</t>
  </si>
  <si>
    <t xml:space="preserve">  BUDGET       RE-PHASING INTO 13/14</t>
  </si>
  <si>
    <t>FORECAST 2014/15</t>
  </si>
  <si>
    <t>FORECAST 2015/16</t>
  </si>
  <si>
    <t>FORECAST 2016/17</t>
  </si>
  <si>
    <t>&amp; VIREMENTS</t>
  </si>
  <si>
    <t xml:space="preserve"> &amp; VIREMENTS</t>
  </si>
  <si>
    <t>Movements</t>
  </si>
  <si>
    <t>INTO</t>
  </si>
  <si>
    <t>FEB BUDGET</t>
  </si>
  <si>
    <t>FROM</t>
  </si>
  <si>
    <t xml:space="preserve">INTO </t>
  </si>
  <si>
    <t>NOT REQUIRED</t>
  </si>
  <si>
    <t>FUNDS</t>
  </si>
  <si>
    <t xml:space="preserve">BUDGET </t>
  </si>
  <si>
    <t xml:space="preserve"> TO 2010/11</t>
  </si>
  <si>
    <t xml:space="preserve">JAN BUDGET </t>
  </si>
  <si>
    <t>MOVEMENTS</t>
  </si>
  <si>
    <t>CASE</t>
  </si>
  <si>
    <t>SPEND</t>
  </si>
  <si>
    <t>JAN</t>
  </si>
  <si>
    <t>ESTATES</t>
  </si>
  <si>
    <t>CUSTODY EVOLUTION PLAN</t>
  </si>
  <si>
    <t>KIRKLEES DHQ</t>
  </si>
  <si>
    <t xml:space="preserve">            LAND PURCHASE</t>
  </si>
  <si>
    <t>KIRKLEES/DEWSBURY REFURBISHMENT</t>
  </si>
  <si>
    <t>LAWCROFT HOUSE LAND PURCHASE/DEVELOPMENT</t>
  </si>
  <si>
    <t>HMET RELOCATION</t>
  </si>
  <si>
    <t>SCIENTIFIC SUPPORT RELOCATION</t>
  </si>
  <si>
    <t>LGC ADAPTATIONS</t>
  </si>
  <si>
    <t>PFI</t>
  </si>
  <si>
    <t>CARR GATE COMPLEX :-</t>
  </si>
  <si>
    <t xml:space="preserve">            INFRASTUCTURE/SITE SECURITY</t>
  </si>
  <si>
    <t xml:space="preserve">            IMPROVEMENTS TO SECURITY ACCESS</t>
  </si>
  <si>
    <t xml:space="preserve">            SITE ACCESS ROAD</t>
  </si>
  <si>
    <t>WAKEFIELD DHQ</t>
  </si>
  <si>
    <t>9426,9427,9429,9542,9545,9547,9431,9432,9444,9445,9458,9417,9422,9428,9430, 9461,UNALLOCATED, 9463,9535,9538</t>
  </si>
  <si>
    <t>MINOR WORKS &amp; HEALTH AND SAFETY</t>
  </si>
  <si>
    <t>ASSET RATIONALISATION WORKS</t>
  </si>
  <si>
    <t>FT &amp; DC REPLACEMENT / REFURBISHMENT</t>
  </si>
  <si>
    <t>CTU PREMISES &amp; RELOCATION</t>
  </si>
  <si>
    <t>Annual Replacement Programme</t>
  </si>
  <si>
    <t xml:space="preserve">     HEALTH AND SAFETY/DDA</t>
  </si>
  <si>
    <t xml:space="preserve">     SLIPPAGE B/fwd</t>
  </si>
  <si>
    <t>Sub Total Buildings Estates Managed</t>
  </si>
  <si>
    <t xml:space="preserve">     FIREARMS RANGE EQUIPMENT</t>
  </si>
  <si>
    <t xml:space="preserve">     IOM KIRKLEES HUB PROJECT</t>
  </si>
  <si>
    <t xml:space="preserve">     DUDLEY HILL REFURB</t>
  </si>
  <si>
    <t xml:space="preserve">     UPGRADE ADMIN 3 SERVER ROOM</t>
  </si>
  <si>
    <t>9552/9551</t>
  </si>
  <si>
    <t xml:space="preserve">    CTU FIT OUT AND TACT CUSTODY</t>
  </si>
  <si>
    <t>Sub Total Buildings Non Estates Managed</t>
  </si>
  <si>
    <t>TOTAL ESTATES</t>
  </si>
  <si>
    <t>INFORMATION TECHNOLOGY</t>
  </si>
  <si>
    <t>6570ZP</t>
  </si>
  <si>
    <t xml:space="preserve">     MOBILE DATA</t>
  </si>
  <si>
    <t xml:space="preserve">     IMPACT</t>
  </si>
  <si>
    <t xml:space="preserve">     POLICE NATIONAL DATABASE</t>
  </si>
  <si>
    <t xml:space="preserve">     ANPR</t>
  </si>
  <si>
    <t xml:space="preserve">     CORVUS</t>
  </si>
  <si>
    <t xml:space="preserve">     NICHE RMS</t>
  </si>
  <si>
    <t xml:space="preserve">     CCTV</t>
  </si>
  <si>
    <t xml:space="preserve">     CCTV HELPDESKS</t>
  </si>
  <si>
    <t xml:space="preserve">     CCTV CUSTODY</t>
  </si>
  <si>
    <t xml:space="preserve">     PC REPLACEMENT</t>
  </si>
  <si>
    <t xml:space="preserve">     NETWORK HARDWARE</t>
  </si>
  <si>
    <t xml:space="preserve">     CONSOLDATION</t>
  </si>
  <si>
    <t xml:space="preserve">     DATA INTEGRITY</t>
  </si>
  <si>
    <t xml:space="preserve">     ACCESS SECURITY</t>
  </si>
  <si>
    <t xml:space="preserve">     COMMAND AND CONTROL</t>
  </si>
  <si>
    <t xml:space="preserve">     IAM</t>
  </si>
  <si>
    <t xml:space="preserve">     E-FORMS</t>
  </si>
  <si>
    <t xml:space="preserve">     DUTIES MANAGEMENT</t>
  </si>
  <si>
    <t xml:space="preserve">     REPLACEMENT HELPDESK</t>
  </si>
  <si>
    <t xml:space="preserve">     PNC</t>
  </si>
  <si>
    <t xml:space="preserve">     CONTENT MANAGEMENT</t>
  </si>
  <si>
    <t xml:space="preserve">     ELVIS  </t>
  </si>
  <si>
    <t xml:space="preserve">     ICCS (Replacements)</t>
  </si>
  <si>
    <t xml:space="preserve">     VIDEO CONFERENCING</t>
  </si>
  <si>
    <t xml:space="preserve">     AIRWAVE (Replacements)</t>
  </si>
  <si>
    <t xml:space="preserve">     INFRASTRUCTURE UPGRADE</t>
  </si>
  <si>
    <t xml:space="preserve">     STORAGE</t>
  </si>
  <si>
    <t xml:space="preserve">     REMOTE WORKING PILOT</t>
  </si>
  <si>
    <t xml:space="preserve">     HR SYSTEM</t>
  </si>
  <si>
    <t xml:space="preserve">     DIGITAL INTERVIEW RECORDING (CJS)</t>
  </si>
  <si>
    <t xml:space="preserve">     CONTACT MANAGEMENT</t>
  </si>
  <si>
    <t xml:space="preserve">     RISK MANAGEMENT SYSTEM</t>
  </si>
  <si>
    <t xml:space="preserve">     GIS</t>
  </si>
  <si>
    <t xml:space="preserve">     IBIS ENHANCEMENT</t>
  </si>
  <si>
    <t xml:space="preserve">     FOREFRONT IDENTITY MANAGER</t>
  </si>
  <si>
    <t xml:space="preserve">     PACS (Physical Access Control System)</t>
  </si>
  <si>
    <t xml:space="preserve">     FOLLOW ME PRINTING</t>
  </si>
  <si>
    <t xml:space="preserve">     FIRE CONTROL CENTRE </t>
  </si>
  <si>
    <t>Sub Total IT Managed</t>
  </si>
  <si>
    <t xml:space="preserve">     CJS DMS</t>
  </si>
  <si>
    <t xml:space="preserve">     AIRWAVE (Esisting Scheme)</t>
  </si>
  <si>
    <t xml:space="preserve">     FINANCE UPGRADE</t>
  </si>
  <si>
    <t xml:space="preserve">     IOM SYSTEM REPLACEMENT</t>
  </si>
  <si>
    <t>9641/9644</t>
  </si>
  <si>
    <t xml:space="preserve">     CTU</t>
  </si>
  <si>
    <t>9613/9993/9635/9642/9646/9647</t>
  </si>
  <si>
    <t xml:space="preserve">     OTHER IT SCHEMES</t>
  </si>
  <si>
    <t xml:space="preserve">     CASTLEFORD ANPR</t>
  </si>
  <si>
    <t xml:space="preserve">     CALDERDALE ANPR</t>
  </si>
  <si>
    <t>Sub Total Non IT Managed</t>
  </si>
  <si>
    <t xml:space="preserve">TOTAL I.T. </t>
  </si>
  <si>
    <t xml:space="preserve">  SCIENTIFIC EQUIPMENT</t>
  </si>
  <si>
    <t xml:space="preserve">  3D SCANNER </t>
  </si>
  <si>
    <t>9800/9705</t>
  </si>
  <si>
    <t xml:space="preserve">  EQUIPMENT</t>
  </si>
  <si>
    <t xml:space="preserve">  HELICOPTER </t>
  </si>
  <si>
    <t xml:space="preserve">  AIRMAX</t>
  </si>
  <si>
    <t>9701/9702/9704/9705</t>
  </si>
  <si>
    <t xml:space="preserve">  VEHICLES</t>
  </si>
  <si>
    <t>TOTAL OTHER PLANT AND EQUIPMENT</t>
  </si>
  <si>
    <t xml:space="preserve">GRAND TOTAL </t>
  </si>
  <si>
    <t xml:space="preserve">Additional Estimated Slippage c/fwd - Estates </t>
  </si>
  <si>
    <t>Additional Estimated Slippage c/fwd - IT</t>
  </si>
  <si>
    <t>TOTAL ESTIMATED SLIPPAGE</t>
  </si>
  <si>
    <t>TOTAL EXPENDITURE TO BE FUNDED</t>
  </si>
  <si>
    <t>FINANCING</t>
  </si>
  <si>
    <t>CAPITAL GRANT</t>
  </si>
  <si>
    <t>SPECIFIC GRANT - OTHER</t>
  </si>
  <si>
    <t>SPECIFIC GRANT - CTU</t>
  </si>
  <si>
    <t>SPECIFIC GRANT - LGC</t>
  </si>
  <si>
    <t>PRUDENTIAL BORROWING</t>
  </si>
  <si>
    <t>DIRECT REVENUE SUPPORT</t>
  </si>
  <si>
    <t xml:space="preserve">CAPITAL RECEIPTS </t>
  </si>
  <si>
    <t>TOTAL FINANCING</t>
  </si>
  <si>
    <t>Knottingley PS, Weeland Road</t>
  </si>
  <si>
    <t>Knottingley</t>
  </si>
  <si>
    <t xml:space="preserve">Bradford Road, 609, Oakenshaw </t>
  </si>
  <si>
    <t>Huddersfield</t>
  </si>
  <si>
    <t xml:space="preserve">Ridgeway, 6, Queensbury, </t>
  </si>
  <si>
    <t>Queensbury</t>
  </si>
  <si>
    <t>Slaithwaite PS, Wood Top, Manchester Rd</t>
  </si>
  <si>
    <t>Slaithwaite</t>
  </si>
  <si>
    <t>Barnsley Road Box</t>
  </si>
  <si>
    <t>Wakefield</t>
  </si>
  <si>
    <t>Dewsbury Road Box</t>
  </si>
  <si>
    <t xml:space="preserve">Sandall Hall Close, 5 </t>
  </si>
  <si>
    <t>Warrengate Police box</t>
  </si>
  <si>
    <t>Land at Broadway Close, Marshfields</t>
  </si>
  <si>
    <t>Bradford</t>
  </si>
  <si>
    <t>Thornhill Radio site, Edge Top Road, Overthorpe</t>
  </si>
  <si>
    <t>Dewsbury</t>
  </si>
  <si>
    <t>Market Street, 21</t>
  </si>
  <si>
    <t>Hemsworth</t>
  </si>
  <si>
    <t>Former Keighley PS, North Street, Keighley</t>
  </si>
  <si>
    <t>Keighley</t>
  </si>
  <si>
    <t>Belle Vue Garage/Offices</t>
  </si>
  <si>
    <t>Leeds</t>
  </si>
  <si>
    <t>Millgarth Police Station Car Park, Millgarth Street</t>
  </si>
  <si>
    <t>Brotherton House</t>
  </si>
  <si>
    <t>Bolling Road Garages/Offices</t>
  </si>
  <si>
    <t>Force Driving School, The Avenue, 11</t>
  </si>
  <si>
    <t xml:space="preserve">Crofton </t>
  </si>
  <si>
    <t>Oulton Firing Range</t>
  </si>
  <si>
    <t>Oulton</t>
  </si>
  <si>
    <t>APPENDIX C</t>
  </si>
  <si>
    <t>WEST YORKSHIRE POLICE MEDIUM TERM FINANCIAL FORECAST 2012-13 TO 2016-17</t>
  </si>
  <si>
    <t>2012/2013</t>
  </si>
  <si>
    <t xml:space="preserve">Pay and </t>
  </si>
  <si>
    <t>2013/2014</t>
  </si>
  <si>
    <t>2014/2015</t>
  </si>
  <si>
    <t>2015/2016</t>
  </si>
  <si>
    <t>2016/2017</t>
  </si>
  <si>
    <t>Estimate at</t>
  </si>
  <si>
    <t>Prices</t>
  </si>
  <si>
    <t>Outturn</t>
  </si>
  <si>
    <t>DEVOLVED AND DELEGATED</t>
  </si>
  <si>
    <t xml:space="preserve">Police Pay </t>
  </si>
  <si>
    <t>Police Staff Pay and Allowances</t>
  </si>
  <si>
    <t>Police Overtime</t>
  </si>
  <si>
    <t>Police Staff Overtime</t>
  </si>
  <si>
    <t>Sub Total Pay and Overtime</t>
  </si>
  <si>
    <t>Medical Expenses</t>
  </si>
  <si>
    <t>Forensic</t>
  </si>
  <si>
    <t>AFR</t>
  </si>
  <si>
    <t>DNA</t>
  </si>
  <si>
    <t>Clothing</t>
  </si>
  <si>
    <t>Training</t>
  </si>
  <si>
    <t>Computers and Communications</t>
  </si>
  <si>
    <t>Buildings Maintenance</t>
  </si>
  <si>
    <t>Cleaning</t>
  </si>
  <si>
    <t>Rent and Rates</t>
  </si>
  <si>
    <t>Energy</t>
  </si>
  <si>
    <t>Contracted Support Services</t>
  </si>
  <si>
    <t>Car Allowances &amp; Travel</t>
  </si>
  <si>
    <t>Vehicle Fleet</t>
  </si>
  <si>
    <t>Internal Printing</t>
  </si>
  <si>
    <t>Training Recharge</t>
  </si>
  <si>
    <t>Advertising</t>
  </si>
  <si>
    <t>Furniture and Fittings</t>
  </si>
  <si>
    <t>Operational and Admin Equipment</t>
  </si>
  <si>
    <t>Photocopying</t>
  </si>
  <si>
    <t>Printing Stationery and Publications</t>
  </si>
  <si>
    <t>Postage</t>
  </si>
  <si>
    <t>Divisional Initiatives/Community Safety</t>
  </si>
  <si>
    <t>ID Parades</t>
  </si>
  <si>
    <t>Vehicle Recovery</t>
  </si>
  <si>
    <t>Agency Staff and Professional Services</t>
  </si>
  <si>
    <t>Helicopter</t>
  </si>
  <si>
    <t>Officers From Other Forces</t>
  </si>
  <si>
    <t>Subsitence Hotel &amp; Hospitality</t>
  </si>
  <si>
    <t>Income</t>
  </si>
  <si>
    <t>Sub Total Non Pay</t>
  </si>
  <si>
    <t>TOTAL DEVOLVED AND DELEGATED</t>
  </si>
  <si>
    <t>NON DEVOLVED/ DELEGATED</t>
  </si>
  <si>
    <t>Pensions</t>
  </si>
  <si>
    <t>Capital Financing:</t>
  </si>
  <si>
    <t>Direct Revenue Support</t>
  </si>
  <si>
    <t>Unfunded Pension Costs</t>
  </si>
  <si>
    <t>Insurance</t>
  </si>
  <si>
    <t>Prisoner Meals</t>
  </si>
  <si>
    <t>Witness Allowances/Interpreters Fees</t>
  </si>
  <si>
    <t>Legal Fees/Ex Gratia Payments</t>
  </si>
  <si>
    <t>Organisational Change</t>
  </si>
  <si>
    <t xml:space="preserve">Other </t>
  </si>
  <si>
    <t>PNC</t>
  </si>
  <si>
    <t>Vehicle Fleet Financing</t>
  </si>
  <si>
    <t>Income - Amending Grants</t>
  </si>
  <si>
    <t>Income General</t>
  </si>
  <si>
    <t>TOTAL NON DEVOLVED/DELEGATED</t>
  </si>
  <si>
    <t>TOTAL FORCE BUDGET</t>
  </si>
  <si>
    <t>TOTAL BASE BUDGET</t>
  </si>
  <si>
    <t>FUNDED BY</t>
  </si>
  <si>
    <t>CONTRIBUTION FROM BALANCES</t>
  </si>
  <si>
    <t>EXTERNAL SUPPORT</t>
  </si>
  <si>
    <t>COLLECTION FUND SURPLUS/DEFICIT</t>
  </si>
  <si>
    <t>COUNCIL TAX FREEZE GRANT</t>
  </si>
  <si>
    <t>PRECEPT REQUIREMENT</t>
  </si>
  <si>
    <t>SHORTFALL</t>
  </si>
  <si>
    <t>Adjusts</t>
  </si>
  <si>
    <t xml:space="preserve">WEST YORKSHIRE POLICE </t>
  </si>
  <si>
    <t>VIREMENTS FROM REVENUE</t>
  </si>
  <si>
    <t xml:space="preserve"> BUDGET 2012/13</t>
  </si>
  <si>
    <t xml:space="preserve">  PROPOSED BUDGET       RE-PHASING INTO 2013/14</t>
  </si>
  <si>
    <t>PROPOSED BUDGET SAVING</t>
  </si>
  <si>
    <t xml:space="preserve"> PROPOSED REVISED BUDGET 2012/13</t>
  </si>
  <si>
    <t>ORIGINAL FORECAST 2013/14</t>
  </si>
  <si>
    <t>PROPOSED RE-PHASING FROM 12/13</t>
  </si>
  <si>
    <t xml:space="preserve">PROPOSED REVISED BUDGET 2013/14 </t>
  </si>
  <si>
    <t>PFI / NPT</t>
  </si>
  <si>
    <t xml:space="preserve">     NPAS</t>
  </si>
  <si>
    <t>DIRECT REVENUE SUPPORT NPAS</t>
  </si>
  <si>
    <t>Option 1 Precept 2,2,2,2  Funding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</si>
</sst>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[Red]\-#,##0\ "/>
    <numFmt numFmtId="165" formatCode="0.0"/>
    <numFmt numFmtId="166" formatCode="#,;[Red]\-#,"/>
    <numFmt numFmtId="167" formatCode="0.0000"/>
    <numFmt numFmtId="168" formatCode="0.000"/>
    <numFmt numFmtId="169" formatCode="\ #,###,"/>
    <numFmt numFmtId="170" formatCode="\ #,###.000,"/>
    <numFmt numFmtId="171" formatCode="\ #,###.00000,"/>
    <numFmt numFmtId="172" formatCode="\ #,###.0000,"/>
    <numFmt numFmtId="173" formatCode="\ #,###.00,"/>
    <numFmt numFmtId="174" formatCode="0.0%"/>
    <numFmt numFmtId="175" formatCode="#,##0.0"/>
    <numFmt numFmtId="176" formatCode="#,##0.00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4"/>
      <name val="MS Sans Serif"/>
      <family val="2"/>
    </font>
    <font>
      <sz val="8.5"/>
      <name val="Arial"/>
      <family val="2"/>
    </font>
    <font>
      <sz val="8"/>
      <name val="Tahoma"/>
      <family val="2"/>
    </font>
    <font>
      <b/>
      <sz val="8"/>
      <name val="Tahoma"/>
      <family val="0"/>
    </font>
    <font>
      <b/>
      <sz val="14"/>
      <name val="Verdana"/>
      <family val="2"/>
    </font>
    <font>
      <b/>
      <sz val="16"/>
      <name val="Verdana"/>
      <family val="2"/>
    </font>
    <font>
      <b/>
      <sz val="14"/>
      <color indexed="8"/>
      <name val="Verdana"/>
      <family val="2"/>
    </font>
    <font>
      <b/>
      <u val="double"/>
      <sz val="14"/>
      <name val="Verdana"/>
      <family val="2"/>
    </font>
    <font>
      <sz val="12"/>
      <name val="Arial"/>
      <family val="0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" fillId="0" borderId="0" xfId="0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0" xfId="42" applyNumberFormat="1" applyFont="1" applyBorder="1" applyAlignment="1">
      <alignment horizontal="center" vertical="center" wrapText="1"/>
    </xf>
    <xf numFmtId="3" fontId="1" fillId="0" borderId="0" xfId="42" applyNumberFormat="1" applyFont="1" applyBorder="1" applyAlignment="1">
      <alignment horizontal="center" vertical="center" wrapText="1"/>
    </xf>
    <xf numFmtId="1" fontId="1" fillId="0" borderId="0" xfId="0" applyNumberFormat="1" applyFont="1" applyFill="1" applyAlignment="1" quotePrefix="1">
      <alignment horizontal="center" vertical="center" wrapText="1"/>
    </xf>
    <xf numFmtId="1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" fontId="0" fillId="0" borderId="0" xfId="42" applyNumberFormat="1" applyFont="1" applyBorder="1" applyAlignment="1">
      <alignment horizontal="right"/>
    </xf>
    <xf numFmtId="3" fontId="0" fillId="0" borderId="0" xfId="42" applyNumberFormat="1" applyFont="1" applyBorder="1" applyAlignment="1">
      <alignment horizontal="right"/>
    </xf>
    <xf numFmtId="0" fontId="0" fillId="0" borderId="0" xfId="0" applyFont="1" applyFill="1" applyAlignment="1" quotePrefix="1">
      <alignment horizontal="right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166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11" xfId="0" applyNumberFormat="1" applyFill="1" applyBorder="1" applyAlignment="1">
      <alignment/>
    </xf>
    <xf numFmtId="1" fontId="0" fillId="33" borderId="11" xfId="0" applyNumberFormat="1" applyFill="1" applyBorder="1" applyAlignment="1">
      <alignment/>
    </xf>
    <xf numFmtId="0" fontId="0" fillId="0" borderId="0" xfId="0" applyAlignment="1" quotePrefix="1">
      <alignment/>
    </xf>
    <xf numFmtId="0" fontId="1" fillId="0" borderId="12" xfId="0" applyFont="1" applyBorder="1" applyAlignment="1">
      <alignment/>
    </xf>
    <xf numFmtId="1" fontId="1" fillId="0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167" fontId="0" fillId="0" borderId="0" xfId="0" applyNumberFormat="1" applyFill="1" applyAlignment="1">
      <alignment/>
    </xf>
    <xf numFmtId="0" fontId="0" fillId="0" borderId="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168" fontId="0" fillId="0" borderId="0" xfId="0" applyNumberFormat="1" applyFill="1" applyAlignment="1">
      <alignment/>
    </xf>
    <xf numFmtId="0" fontId="0" fillId="34" borderId="0" xfId="0" applyFill="1" applyAlignment="1">
      <alignment/>
    </xf>
    <xf numFmtId="3" fontId="0" fillId="0" borderId="0" xfId="0" applyNumberFormat="1" applyAlignment="1" quotePrefix="1">
      <alignment/>
    </xf>
    <xf numFmtId="1" fontId="1" fillId="0" borderId="0" xfId="0" applyNumberFormat="1" applyFont="1" applyFill="1" applyBorder="1" applyAlignment="1">
      <alignment/>
    </xf>
    <xf numFmtId="3" fontId="0" fillId="0" borderId="0" xfId="0" applyNumberFormat="1" applyFont="1" applyAlignment="1" quotePrefix="1">
      <alignment/>
    </xf>
    <xf numFmtId="0" fontId="0" fillId="0" borderId="11" xfId="0" applyFont="1" applyFill="1" applyBorder="1" applyAlignment="1">
      <alignment/>
    </xf>
    <xf numFmtId="0" fontId="1" fillId="0" borderId="13" xfId="0" applyFont="1" applyBorder="1" applyAlignment="1">
      <alignment/>
    </xf>
    <xf numFmtId="1" fontId="1" fillId="0" borderId="13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1" fontId="0" fillId="33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 horizontal="right"/>
    </xf>
    <xf numFmtId="1" fontId="3" fillId="0" borderId="14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right"/>
    </xf>
    <xf numFmtId="1" fontId="0" fillId="0" borderId="1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42" fontId="0" fillId="0" borderId="16" xfId="0" applyNumberFormat="1" applyBorder="1" applyAlignment="1">
      <alignment vertical="center"/>
    </xf>
    <xf numFmtId="1" fontId="0" fillId="0" borderId="0" xfId="0" applyNumberFormat="1" applyBorder="1" applyAlignment="1">
      <alignment vertical="center"/>
    </xf>
    <xf numFmtId="42" fontId="0" fillId="0" borderId="0" xfId="0" applyNumberFormat="1" applyBorder="1" applyAlignment="1">
      <alignment vertical="center"/>
    </xf>
    <xf numFmtId="1" fontId="0" fillId="0" borderId="16" xfId="0" applyNumberForma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2" fontId="0" fillId="0" borderId="16" xfId="0" applyNumberFormat="1" applyFont="1" applyBorder="1" applyAlignment="1">
      <alignment vertical="center"/>
    </xf>
    <xf numFmtId="1" fontId="0" fillId="0" borderId="16" xfId="0" applyNumberFormat="1" applyFont="1" applyBorder="1" applyAlignment="1">
      <alignment vertical="center"/>
    </xf>
    <xf numFmtId="42" fontId="0" fillId="0" borderId="0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169" fontId="8" fillId="0" borderId="0" xfId="0" applyNumberFormat="1" applyFont="1" applyAlignment="1">
      <alignment/>
    </xf>
    <xf numFmtId="169" fontId="8" fillId="0" borderId="0" xfId="0" applyNumberFormat="1" applyFont="1" applyBorder="1" applyAlignment="1">
      <alignment/>
    </xf>
    <xf numFmtId="169" fontId="8" fillId="0" borderId="0" xfId="0" applyNumberFormat="1" applyFont="1" applyBorder="1" applyAlignment="1">
      <alignment horizontal="right"/>
    </xf>
    <xf numFmtId="169" fontId="9" fillId="35" borderId="17" xfId="0" applyNumberFormat="1" applyFont="1" applyFill="1" applyBorder="1" applyAlignment="1">
      <alignment horizontal="centerContinuous" vertical="center"/>
    </xf>
    <xf numFmtId="169" fontId="8" fillId="35" borderId="18" xfId="0" applyNumberFormat="1" applyFont="1" applyFill="1" applyBorder="1" applyAlignment="1">
      <alignment horizontal="centerContinuous" vertical="center"/>
    </xf>
    <xf numFmtId="169" fontId="8" fillId="35" borderId="18" xfId="0" applyNumberFormat="1" applyFont="1" applyFill="1" applyBorder="1" applyAlignment="1">
      <alignment/>
    </xf>
    <xf numFmtId="169" fontId="8" fillId="35" borderId="19" xfId="0" applyNumberFormat="1" applyFont="1" applyFill="1" applyBorder="1" applyAlignment="1">
      <alignment/>
    </xf>
    <xf numFmtId="169" fontId="10" fillId="36" borderId="0" xfId="0" applyNumberFormat="1" applyFont="1" applyFill="1" applyBorder="1" applyAlignment="1">
      <alignment horizontal="centerContinuous"/>
    </xf>
    <xf numFmtId="169" fontId="8" fillId="36" borderId="0" xfId="0" applyNumberFormat="1" applyFont="1" applyFill="1" applyAlignment="1">
      <alignment horizontal="center"/>
    </xf>
    <xf numFmtId="49" fontId="8" fillId="36" borderId="20" xfId="0" applyNumberFormat="1" applyFont="1" applyFill="1" applyBorder="1" applyAlignment="1">
      <alignment horizontal="center"/>
    </xf>
    <xf numFmtId="169" fontId="8" fillId="36" borderId="20" xfId="0" applyNumberFormat="1" applyFont="1" applyFill="1" applyBorder="1" applyAlignment="1">
      <alignment horizontal="center"/>
    </xf>
    <xf numFmtId="169" fontId="8" fillId="36" borderId="0" xfId="0" applyNumberFormat="1" applyFont="1" applyFill="1" applyBorder="1" applyAlignment="1">
      <alignment horizontal="center"/>
    </xf>
    <xf numFmtId="169" fontId="8" fillId="36" borderId="21" xfId="0" applyNumberFormat="1" applyFont="1" applyFill="1" applyBorder="1" applyAlignment="1">
      <alignment horizontal="center"/>
    </xf>
    <xf numFmtId="169" fontId="8" fillId="36" borderId="0" xfId="0" applyNumberFormat="1" applyFont="1" applyFill="1" applyAlignment="1">
      <alignment/>
    </xf>
    <xf numFmtId="169" fontId="8" fillId="36" borderId="22" xfId="0" applyNumberFormat="1" applyFont="1" applyFill="1" applyBorder="1" applyAlignment="1" applyProtection="1">
      <alignment horizontal="center"/>
      <protection locked="0"/>
    </xf>
    <xf numFmtId="169" fontId="8" fillId="36" borderId="22" xfId="0" applyNumberFormat="1" applyFont="1" applyFill="1" applyBorder="1" applyAlignment="1">
      <alignment horizontal="center"/>
    </xf>
    <xf numFmtId="169" fontId="8" fillId="0" borderId="0" xfId="0" applyNumberFormat="1" applyFont="1" applyAlignment="1" applyProtection="1">
      <alignment/>
      <protection locked="0"/>
    </xf>
    <xf numFmtId="169" fontId="11" fillId="36" borderId="23" xfId="0" applyNumberFormat="1" applyFont="1" applyFill="1" applyBorder="1" applyAlignment="1">
      <alignment horizontal="left"/>
    </xf>
    <xf numFmtId="169" fontId="8" fillId="0" borderId="23" xfId="0" applyNumberFormat="1" applyFont="1" applyBorder="1" applyAlignment="1" applyProtection="1">
      <alignment/>
      <protection locked="0"/>
    </xf>
    <xf numFmtId="169" fontId="8" fillId="0" borderId="23" xfId="0" applyNumberFormat="1" applyFont="1" applyBorder="1" applyAlignment="1">
      <alignment/>
    </xf>
    <xf numFmtId="169" fontId="11" fillId="36" borderId="0" xfId="0" applyNumberFormat="1" applyFont="1" applyFill="1" applyBorder="1" applyAlignment="1">
      <alignment horizontal="left"/>
    </xf>
    <xf numFmtId="3" fontId="8" fillId="0" borderId="21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44" applyNumberFormat="1" applyFont="1" applyBorder="1" applyAlignment="1">
      <alignment horizontal="right"/>
    </xf>
    <xf numFmtId="170" fontId="8" fillId="0" borderId="0" xfId="0" applyNumberFormat="1" applyFont="1" applyBorder="1" applyAlignment="1">
      <alignment/>
    </xf>
    <xf numFmtId="3" fontId="8" fillId="0" borderId="21" xfId="0" applyNumberFormat="1" applyFont="1" applyFill="1" applyBorder="1" applyAlignment="1">
      <alignment/>
    </xf>
    <xf numFmtId="171" fontId="8" fillId="0" borderId="0" xfId="0" applyNumberFormat="1" applyFont="1" applyBorder="1" applyAlignment="1">
      <alignment/>
    </xf>
    <xf numFmtId="169" fontId="8" fillId="36" borderId="0" xfId="0" applyNumberFormat="1" applyFont="1" applyFill="1" applyBorder="1" applyAlignment="1">
      <alignment horizontal="left"/>
    </xf>
    <xf numFmtId="3" fontId="8" fillId="0" borderId="22" xfId="0" applyNumberFormat="1" applyFont="1" applyBorder="1" applyAlignment="1">
      <alignment/>
    </xf>
    <xf numFmtId="169" fontId="8" fillId="0" borderId="0" xfId="0" applyNumberFormat="1" applyFont="1" applyAlignment="1">
      <alignment horizontal="left"/>
    </xf>
    <xf numFmtId="3" fontId="8" fillId="0" borderId="24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23" xfId="0" applyNumberFormat="1" applyFont="1" applyBorder="1" applyAlignment="1" applyProtection="1">
      <alignment/>
      <protection locked="0"/>
    </xf>
    <xf numFmtId="3" fontId="8" fillId="0" borderId="23" xfId="0" applyNumberFormat="1" applyFont="1" applyBorder="1" applyAlignment="1">
      <alignment/>
    </xf>
    <xf numFmtId="3" fontId="8" fillId="0" borderId="20" xfId="0" applyNumberFormat="1" applyFont="1" applyBorder="1" applyAlignment="1" applyProtection="1">
      <alignment/>
      <protection locked="0"/>
    </xf>
    <xf numFmtId="3" fontId="8" fillId="0" borderId="20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169" fontId="8" fillId="0" borderId="0" xfId="0" applyNumberFormat="1" applyFont="1" applyBorder="1" applyAlignment="1">
      <alignment horizontal="left"/>
    </xf>
    <xf numFmtId="3" fontId="8" fillId="0" borderId="27" xfId="0" applyNumberFormat="1" applyFont="1" applyBorder="1" applyAlignment="1" applyProtection="1">
      <alignment/>
      <protection locked="0"/>
    </xf>
    <xf numFmtId="3" fontId="8" fillId="0" borderId="27" xfId="0" applyNumberFormat="1" applyFont="1" applyBorder="1" applyAlignment="1">
      <alignment/>
    </xf>
    <xf numFmtId="169" fontId="11" fillId="0" borderId="0" xfId="0" applyNumberFormat="1" applyFont="1" applyAlignment="1">
      <alignment horizontal="left"/>
    </xf>
    <xf numFmtId="3" fontId="8" fillId="0" borderId="28" xfId="0" applyNumberFormat="1" applyFont="1" applyBorder="1" applyAlignment="1">
      <alignment/>
    </xf>
    <xf numFmtId="3" fontId="8" fillId="0" borderId="22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4" fontId="1" fillId="0" borderId="0" xfId="0" applyNumberFormat="1" applyFont="1" applyAlignment="1">
      <alignment horizontal="right"/>
    </xf>
    <xf numFmtId="10" fontId="8" fillId="0" borderId="0" xfId="59" applyNumberFormat="1" applyFont="1" applyBorder="1" applyAlignment="1">
      <alignment/>
    </xf>
    <xf numFmtId="169" fontId="8" fillId="0" borderId="21" xfId="0" applyNumberFormat="1" applyFont="1" applyBorder="1" applyAlignment="1" applyProtection="1">
      <alignment/>
      <protection locked="0"/>
    </xf>
    <xf numFmtId="169" fontId="8" fillId="0" borderId="21" xfId="0" applyNumberFormat="1" applyFont="1" applyBorder="1" applyAlignment="1">
      <alignment/>
    </xf>
    <xf numFmtId="169" fontId="9" fillId="0" borderId="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A Budget Seminar MTFF Appendices 22 Oct 200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yp-infoshare/sites/kbf/Finances/Budgets/BUDGETS2/Budget%20Working%20Papers/Budget%20WP%202013%20-2014/Budget%20WP%202012-13%20%20%20to%202013-14%20%20Jan%202013%20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ople Forecast  Cumulative"/>
      <sheetName val="MTFF "/>
      <sheetName val="Movement Statement "/>
      <sheetName val="dEC TO JAN MOVE"/>
      <sheetName val="Movement &amp; Suggested Savings"/>
      <sheetName val="People Forecast "/>
      <sheetName val="Force Budget Analysis "/>
      <sheetName val="SUMMARY BUDGET MOVES "/>
      <sheetName val="Budget Queries"/>
      <sheetName val="SUBJ ANALYSIS SUMMARY"/>
      <sheetName val="DEVOLVED AND DEL INC TRAIN"/>
      <sheetName val="NON DEV NON DEL "/>
      <sheetName val="PENSIONS"/>
      <sheetName val="Pay Savings Rec"/>
      <sheetName val="Budget on Sun June 12"/>
      <sheetName val="Winsor"/>
      <sheetName val="Staff Movement 31 March 2013"/>
      <sheetName val="PFI Summary 31th May 2012"/>
      <sheetName val="PF Wp Non Pay Savings Latest"/>
      <sheetName val="Debt Charges"/>
    </sheetNames>
    <sheetDataSet>
      <sheetData sheetId="7">
        <row r="11">
          <cell r="C11">
            <v>254758.1420703959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-330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0</v>
          </cell>
          <cell r="V11">
            <v>3260</v>
          </cell>
          <cell r="W11">
            <v>-3377.25</v>
          </cell>
          <cell r="X11">
            <v>57.5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F11">
            <v>1482.0161654106428</v>
          </cell>
        </row>
        <row r="12">
          <cell r="C12">
            <v>7097.878743114712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F12">
            <v>13.370201093641887</v>
          </cell>
        </row>
        <row r="13">
          <cell r="C13">
            <v>109933.41051999999</v>
          </cell>
          <cell r="D13">
            <v>405</v>
          </cell>
          <cell r="E13">
            <v>0</v>
          </cell>
          <cell r="F13">
            <v>0</v>
          </cell>
          <cell r="G13">
            <v>0</v>
          </cell>
          <cell r="H13">
            <v>33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289.4774942857143</v>
          </cell>
          <cell r="V13">
            <v>800</v>
          </cell>
          <cell r="W13">
            <v>0</v>
          </cell>
          <cell r="X13">
            <v>350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F13">
            <v>652.2301800833333</v>
          </cell>
        </row>
        <row r="14">
          <cell r="C14">
            <v>9957.347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-900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F14">
            <v>52.83452416666667</v>
          </cell>
        </row>
        <row r="15">
          <cell r="C15">
            <v>1906.963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16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F15">
            <v>11.217284166666666</v>
          </cell>
        </row>
        <row r="17">
          <cell r="C17">
            <v>4280.12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F17">
            <v>85.6024</v>
          </cell>
        </row>
        <row r="18">
          <cell r="C18">
            <v>3035.5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 t="str">
            <v> </v>
          </cell>
          <cell r="AB18">
            <v>0</v>
          </cell>
          <cell r="AC18">
            <v>0</v>
          </cell>
          <cell r="AD18">
            <v>0</v>
          </cell>
          <cell r="AF18">
            <v>60.71</v>
          </cell>
        </row>
        <row r="19">
          <cell r="C19">
            <v>262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F19">
            <v>5.24</v>
          </cell>
        </row>
        <row r="20">
          <cell r="C20">
            <v>270.12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5.4024</v>
          </cell>
        </row>
        <row r="21">
          <cell r="C21">
            <v>1352.6239999999998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F21">
            <v>27.052480000000003</v>
          </cell>
        </row>
        <row r="22">
          <cell r="C22">
            <v>586.756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F22">
            <v>11.73512</v>
          </cell>
        </row>
        <row r="23">
          <cell r="C23">
            <v>12461.604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250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F23">
            <v>322.72917</v>
          </cell>
        </row>
        <row r="24">
          <cell r="C24">
            <v>3401.9779999999996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16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F24">
            <v>81.00485</v>
          </cell>
        </row>
        <row r="25">
          <cell r="C25">
            <v>2749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F25">
            <v>54.980000000000004</v>
          </cell>
        </row>
        <row r="26">
          <cell r="C26">
            <v>8842.733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F26">
            <v>386.538655</v>
          </cell>
        </row>
        <row r="27">
          <cell r="C27">
            <v>4015.4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F27">
            <v>412.092</v>
          </cell>
        </row>
        <row r="28">
          <cell r="C28">
            <v>307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F28">
            <v>6.140000000000001</v>
          </cell>
        </row>
        <row r="29">
          <cell r="C29">
            <v>1702.308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F29">
            <v>34.04616</v>
          </cell>
        </row>
        <row r="30">
          <cell r="C30">
            <v>11658.411000000004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F30">
            <v>567.3681000000001</v>
          </cell>
        </row>
        <row r="31">
          <cell r="C31">
            <v>221.607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F31">
            <v>4.43214</v>
          </cell>
        </row>
        <row r="32">
          <cell r="C32">
            <v>645.5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F32">
            <v>0.01</v>
          </cell>
        </row>
        <row r="33">
          <cell r="C33">
            <v>71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F33">
            <v>1.42</v>
          </cell>
        </row>
        <row r="34">
          <cell r="C34">
            <v>151.168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F34">
            <v>3.0233600000000003</v>
          </cell>
        </row>
        <row r="35">
          <cell r="C35">
            <v>2841.5559999999996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56.83112000000001</v>
          </cell>
        </row>
        <row r="36">
          <cell r="C36">
            <v>1114.803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22.296060000000004</v>
          </cell>
        </row>
        <row r="37">
          <cell r="C37">
            <v>719.79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14.3958</v>
          </cell>
        </row>
        <row r="38">
          <cell r="C38">
            <v>382.275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F38">
            <v>7.645499999999999</v>
          </cell>
        </row>
        <row r="39">
          <cell r="C39">
            <v>645.425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F39">
            <v>12.9085</v>
          </cell>
        </row>
        <row r="40">
          <cell r="C40">
            <v>191.86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F40">
            <v>3.8372</v>
          </cell>
        </row>
        <row r="41">
          <cell r="C41">
            <v>187.625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F41">
            <v>3.7525</v>
          </cell>
        </row>
        <row r="42">
          <cell r="C42">
            <v>1752.39048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X42">
            <v>-105.7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F42">
            <v>32.933809600000004</v>
          </cell>
        </row>
        <row r="43">
          <cell r="C43">
            <v>1243.76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F43">
            <v>71.3452</v>
          </cell>
        </row>
        <row r="44">
          <cell r="C44">
            <v>626.811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652.4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F44">
            <v>23.584220000000002</v>
          </cell>
        </row>
        <row r="45">
          <cell r="C45">
            <v>6510.29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F45">
            <v>25.1029</v>
          </cell>
        </row>
        <row r="46">
          <cell r="C46">
            <v>1247.537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F46">
            <v>24.950739999999996</v>
          </cell>
        </row>
        <row r="47">
          <cell r="C47">
            <v>5184.736000000001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F47">
            <v>107.77936</v>
          </cell>
        </row>
        <row r="48">
          <cell r="C48">
            <v>-49789.27099999999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242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521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F48">
            <v>-305.9510358333333</v>
          </cell>
        </row>
        <row r="59">
          <cell r="C59">
            <v>4556</v>
          </cell>
          <cell r="E59">
            <v>0</v>
          </cell>
          <cell r="F59">
            <v>0</v>
          </cell>
          <cell r="G59">
            <v>0</v>
          </cell>
          <cell r="H59">
            <v>675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F59">
            <v>143.78583333333333</v>
          </cell>
        </row>
        <row r="62">
          <cell r="C62">
            <v>10678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  <cell r="W62">
            <v>0</v>
          </cell>
          <cell r="X62">
            <v>-1068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F62">
            <v>0</v>
          </cell>
        </row>
        <row r="63">
          <cell r="C63">
            <v>500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F63">
            <v>0</v>
          </cell>
        </row>
        <row r="65">
          <cell r="C65">
            <v>204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F65">
            <v>4.08</v>
          </cell>
        </row>
        <row r="66">
          <cell r="C66">
            <v>1849</v>
          </cell>
          <cell r="E66">
            <v>0</v>
          </cell>
          <cell r="F66">
            <v>0</v>
          </cell>
          <cell r="G66">
            <v>0</v>
          </cell>
          <cell r="H66">
            <v>500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F66">
            <v>115.22</v>
          </cell>
        </row>
        <row r="67">
          <cell r="C67">
            <v>160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F67">
            <v>3.2</v>
          </cell>
        </row>
        <row r="68">
          <cell r="C68">
            <v>789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X68" t="str">
            <v> 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F68">
            <v>15.780000000000001</v>
          </cell>
        </row>
        <row r="70">
          <cell r="C70">
            <v>70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F70">
            <v>1.4000000000000001</v>
          </cell>
        </row>
        <row r="71">
          <cell r="C71">
            <v>3000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X71">
            <v>-1850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F71">
            <v>0</v>
          </cell>
        </row>
        <row r="72">
          <cell r="C72">
            <v>9769</v>
          </cell>
          <cell r="D72">
            <v>-405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X72">
            <v>-4000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F72">
            <v>15.520000000000001</v>
          </cell>
        </row>
        <row r="73">
          <cell r="C73">
            <v>1586</v>
          </cell>
          <cell r="E73">
            <v>0</v>
          </cell>
          <cell r="F73">
            <v>0</v>
          </cell>
          <cell r="G73">
            <v>0</v>
          </cell>
          <cell r="H73">
            <v>33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0</v>
          </cell>
          <cell r="X73">
            <v>388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F73">
            <v>95.35000000000001</v>
          </cell>
        </row>
        <row r="74">
          <cell r="C74">
            <v>-2864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F74">
            <v>0</v>
          </cell>
        </row>
        <row r="76">
          <cell r="C76">
            <v>-25856</v>
          </cell>
          <cell r="E76">
            <v>0</v>
          </cell>
          <cell r="F76">
            <v>0</v>
          </cell>
          <cell r="G76">
            <v>0</v>
          </cell>
          <cell r="H76">
            <v>250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0</v>
          </cell>
          <cell r="V76">
            <v>0</v>
          </cell>
          <cell r="W76">
            <v>0</v>
          </cell>
          <cell r="X76">
            <v>6485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F76">
            <v>-36.62083333333333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189"/>
  <sheetViews>
    <sheetView zoomScalePageLayoutView="0" workbookViewId="0" topLeftCell="C116">
      <selection activeCell="BQ138" sqref="BQ138"/>
    </sheetView>
  </sheetViews>
  <sheetFormatPr defaultColWidth="9.140625" defaultRowHeight="12.75"/>
  <cols>
    <col min="1" max="1" width="9.140625" style="0" hidden="1" customWidth="1"/>
    <col min="2" max="2" width="1.57421875" style="0" hidden="1" customWidth="1"/>
    <col min="3" max="3" width="41.57421875" style="0" customWidth="1"/>
    <col min="4" max="4" width="12.421875" style="0" hidden="1" customWidth="1"/>
    <col min="5" max="5" width="17.140625" style="0" hidden="1" customWidth="1"/>
    <col min="6" max="6" width="11.57421875" style="9" hidden="1" customWidth="1"/>
    <col min="7" max="7" width="13.00390625" style="9" hidden="1" customWidth="1"/>
    <col min="8" max="8" width="11.00390625" style="9" hidden="1" customWidth="1"/>
    <col min="9" max="9" width="10.57421875" style="9" hidden="1" customWidth="1"/>
    <col min="10" max="10" width="11.00390625" style="9" hidden="1" customWidth="1"/>
    <col min="11" max="11" width="16.57421875" style="9" hidden="1" customWidth="1"/>
    <col min="12" max="17" width="11.00390625" style="9" hidden="1" customWidth="1"/>
    <col min="18" max="19" width="9.140625" style="0" hidden="1" customWidth="1"/>
    <col min="20" max="20" width="11.00390625" style="9" hidden="1" customWidth="1"/>
    <col min="21" max="21" width="15.140625" style="9" hidden="1" customWidth="1"/>
    <col min="22" max="22" width="12.7109375" style="9" hidden="1" customWidth="1"/>
    <col min="23" max="23" width="10.28125" style="9" hidden="1" customWidth="1"/>
    <col min="24" max="24" width="14.00390625" style="9" hidden="1" customWidth="1"/>
    <col min="25" max="25" width="10.57421875" style="9" hidden="1" customWidth="1"/>
    <col min="26" max="26" width="17.7109375" style="9" hidden="1" customWidth="1"/>
    <col min="27" max="27" width="10.57421875" style="9" hidden="1" customWidth="1"/>
    <col min="28" max="28" width="12.57421875" style="9" hidden="1" customWidth="1"/>
    <col min="29" max="29" width="14.57421875" style="9" hidden="1" customWidth="1"/>
    <col min="30" max="30" width="12.00390625" style="9" hidden="1" customWidth="1"/>
    <col min="31" max="31" width="12.421875" style="9" hidden="1" customWidth="1"/>
    <col min="32" max="32" width="9.7109375" style="9" hidden="1" customWidth="1"/>
    <col min="33" max="33" width="13.421875" style="9" hidden="1" customWidth="1"/>
    <col min="34" max="34" width="12.8515625" style="9" hidden="1" customWidth="1"/>
    <col min="35" max="35" width="3.140625" style="9" hidden="1" customWidth="1"/>
    <col min="36" max="36" width="2.7109375" style="9" hidden="1" customWidth="1"/>
    <col min="37" max="37" width="12.8515625" style="9" hidden="1" customWidth="1"/>
    <col min="38" max="38" width="13.57421875" style="9" hidden="1" customWidth="1"/>
    <col min="39" max="39" width="13.28125" style="9" hidden="1" customWidth="1"/>
    <col min="40" max="40" width="10.57421875" style="10" hidden="1" customWidth="1"/>
    <col min="41" max="43" width="13.28125" style="9" hidden="1" customWidth="1"/>
    <col min="44" max="44" width="16.421875" style="9" hidden="1" customWidth="1"/>
    <col min="45" max="45" width="23.421875" style="9" hidden="1" customWidth="1"/>
    <col min="46" max="47" width="16.57421875" style="9" hidden="1" customWidth="1"/>
    <col min="48" max="48" width="14.28125" style="10" hidden="1" customWidth="1"/>
    <col min="49" max="49" width="13.28125" style="9" hidden="1" customWidth="1"/>
    <col min="50" max="50" width="14.28125" style="9" hidden="1" customWidth="1"/>
    <col min="51" max="51" width="13.28125" style="10" hidden="1" customWidth="1"/>
    <col min="52" max="52" width="14.28125" style="9" hidden="1" customWidth="1"/>
    <col min="53" max="53" width="10.00390625" style="9" hidden="1" customWidth="1"/>
    <col min="54" max="54" width="10.28125" style="9" hidden="1" customWidth="1"/>
    <col min="55" max="55" width="9.8515625" style="9" hidden="1" customWidth="1"/>
    <col min="56" max="56" width="9.421875" style="9" hidden="1" customWidth="1"/>
    <col min="57" max="59" width="11.140625" style="9" hidden="1" customWidth="1"/>
    <col min="60" max="61" width="13.140625" style="9" hidden="1" customWidth="1"/>
    <col min="62" max="63" width="11.140625" style="9" hidden="1" customWidth="1"/>
    <col min="64" max="64" width="12.57421875" style="9" hidden="1" customWidth="1"/>
    <col min="65" max="65" width="11.140625" style="9" customWidth="1"/>
    <col min="66" max="66" width="13.28125" style="9" customWidth="1"/>
    <col min="67" max="67" width="13.00390625" style="9" customWidth="1"/>
    <col min="68" max="68" width="12.7109375" style="9" customWidth="1"/>
    <col min="69" max="70" width="12.140625" style="9" customWidth="1"/>
    <col min="71" max="71" width="12.421875" style="9" customWidth="1"/>
    <col min="72" max="72" width="10.8515625" style="0" customWidth="1"/>
    <col min="73" max="74" width="12.421875" style="0" customWidth="1"/>
  </cols>
  <sheetData>
    <row r="1" spans="8:71" ht="18" hidden="1">
      <c r="H1" s="10"/>
      <c r="I1" s="10"/>
      <c r="AM1" s="11" t="s">
        <v>17</v>
      </c>
      <c r="AN1" s="12"/>
      <c r="AO1" s="11"/>
      <c r="AP1" s="11"/>
      <c r="AQ1" s="11"/>
      <c r="AR1" s="11"/>
      <c r="AS1" s="11"/>
      <c r="AT1" s="11"/>
      <c r="AU1" s="11"/>
      <c r="AV1" s="12"/>
      <c r="AW1" s="11"/>
      <c r="AX1" s="11"/>
      <c r="AY1" s="12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</row>
    <row r="2" spans="3:74" ht="18.75">
      <c r="C2" s="13" t="s">
        <v>296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AA2" s="9" t="s">
        <v>26</v>
      </c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T2" s="9"/>
      <c r="BV2" s="14" t="s">
        <v>25</v>
      </c>
    </row>
    <row r="3" spans="3:9" ht="12.75" hidden="1">
      <c r="C3" s="1"/>
      <c r="E3" s="1"/>
      <c r="F3" s="15"/>
      <c r="G3" s="15"/>
      <c r="H3" s="16"/>
      <c r="I3" s="16"/>
    </row>
    <row r="4" spans="1:75" ht="18">
      <c r="A4" s="13" t="s">
        <v>27</v>
      </c>
      <c r="B4" s="13"/>
      <c r="C4" s="13" t="s">
        <v>1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AA4" s="9" t="s">
        <v>28</v>
      </c>
      <c r="BU4" s="17"/>
      <c r="BV4" s="17"/>
      <c r="BW4" s="17"/>
    </row>
    <row r="5" spans="3:75" ht="12.75">
      <c r="C5" s="1"/>
      <c r="D5" s="1"/>
      <c r="E5" s="1"/>
      <c r="F5" s="15"/>
      <c r="G5" s="15"/>
      <c r="H5" s="16"/>
      <c r="I5" s="16"/>
      <c r="BU5" s="18"/>
      <c r="BV5" s="18"/>
      <c r="BW5" s="18"/>
    </row>
    <row r="6" spans="3:75" s="19" customFormat="1" ht="54.75" customHeight="1">
      <c r="C6" s="20"/>
      <c r="D6" s="20"/>
      <c r="E6" s="20"/>
      <c r="F6" s="21" t="s">
        <v>29</v>
      </c>
      <c r="G6" s="21" t="s">
        <v>30</v>
      </c>
      <c r="H6" s="21" t="s">
        <v>31</v>
      </c>
      <c r="I6" s="22" t="s">
        <v>32</v>
      </c>
      <c r="J6" s="22" t="s">
        <v>33</v>
      </c>
      <c r="K6" s="21" t="s">
        <v>34</v>
      </c>
      <c r="L6" s="21" t="s">
        <v>31</v>
      </c>
      <c r="M6" s="21" t="s">
        <v>35</v>
      </c>
      <c r="N6" s="21" t="s">
        <v>36</v>
      </c>
      <c r="O6" s="21" t="s">
        <v>35</v>
      </c>
      <c r="P6" s="21" t="s">
        <v>37</v>
      </c>
      <c r="Q6" s="21"/>
      <c r="S6" s="21"/>
      <c r="T6" s="22" t="s">
        <v>38</v>
      </c>
      <c r="U6" s="21" t="s">
        <v>39</v>
      </c>
      <c r="V6" s="21" t="s">
        <v>34</v>
      </c>
      <c r="W6" s="21"/>
      <c r="X6" s="21" t="s">
        <v>40</v>
      </c>
      <c r="Y6" s="21" t="s">
        <v>37</v>
      </c>
      <c r="Z6" s="21" t="s">
        <v>33</v>
      </c>
      <c r="AA6" s="21" t="s">
        <v>32</v>
      </c>
      <c r="AB6" s="21" t="s">
        <v>41</v>
      </c>
      <c r="AC6" s="21" t="s">
        <v>42</v>
      </c>
      <c r="AD6" s="21" t="s">
        <v>32</v>
      </c>
      <c r="AE6" s="21" t="s">
        <v>43</v>
      </c>
      <c r="AF6" s="21" t="s">
        <v>44</v>
      </c>
      <c r="AG6" s="21" t="s">
        <v>45</v>
      </c>
      <c r="AH6" s="21"/>
      <c r="AI6" s="21"/>
      <c r="AJ6" s="21"/>
      <c r="AK6" s="23" t="s">
        <v>46</v>
      </c>
      <c r="AL6" s="24" t="s">
        <v>47</v>
      </c>
      <c r="AM6" s="21" t="s">
        <v>38</v>
      </c>
      <c r="AN6" s="21" t="s">
        <v>37</v>
      </c>
      <c r="AO6" s="21" t="s">
        <v>32</v>
      </c>
      <c r="AP6" s="21" t="s">
        <v>48</v>
      </c>
      <c r="AQ6" s="21" t="s">
        <v>49</v>
      </c>
      <c r="AR6" s="21" t="s">
        <v>50</v>
      </c>
      <c r="AS6" s="21" t="s">
        <v>51</v>
      </c>
      <c r="AT6" s="21" t="s">
        <v>32</v>
      </c>
      <c r="AU6" s="21" t="s">
        <v>52</v>
      </c>
      <c r="AV6" s="21" t="s">
        <v>32</v>
      </c>
      <c r="AW6" s="22" t="s">
        <v>38</v>
      </c>
      <c r="AX6" s="22" t="s">
        <v>38</v>
      </c>
      <c r="AY6" s="21" t="s">
        <v>53</v>
      </c>
      <c r="AZ6" s="22" t="s">
        <v>38</v>
      </c>
      <c r="BA6" s="22" t="s">
        <v>54</v>
      </c>
      <c r="BB6" s="22" t="s">
        <v>55</v>
      </c>
      <c r="BC6" s="22" t="s">
        <v>44</v>
      </c>
      <c r="BD6" s="22" t="s">
        <v>56</v>
      </c>
      <c r="BE6" s="22" t="s">
        <v>57</v>
      </c>
      <c r="BF6" s="22" t="s">
        <v>58</v>
      </c>
      <c r="BG6" s="22" t="s">
        <v>59</v>
      </c>
      <c r="BH6" s="22" t="s">
        <v>60</v>
      </c>
      <c r="BI6" s="22" t="s">
        <v>297</v>
      </c>
      <c r="BJ6" s="22" t="s">
        <v>61</v>
      </c>
      <c r="BK6" s="22" t="s">
        <v>62</v>
      </c>
      <c r="BL6" s="22" t="s">
        <v>63</v>
      </c>
      <c r="BM6" s="22" t="s">
        <v>298</v>
      </c>
      <c r="BN6" s="22" t="s">
        <v>299</v>
      </c>
      <c r="BO6" s="22" t="s">
        <v>300</v>
      </c>
      <c r="BP6" s="22" t="s">
        <v>301</v>
      </c>
      <c r="BQ6" s="22" t="s">
        <v>302</v>
      </c>
      <c r="BR6" s="22" t="s">
        <v>303</v>
      </c>
      <c r="BS6" s="22" t="s">
        <v>304</v>
      </c>
      <c r="BT6" s="22" t="s">
        <v>64</v>
      </c>
      <c r="BU6" s="22" t="s">
        <v>65</v>
      </c>
      <c r="BV6" s="22" t="s">
        <v>66</v>
      </c>
      <c r="BW6" s="25"/>
    </row>
    <row r="7" spans="6:74" s="4" customFormat="1" ht="12.75">
      <c r="F7" s="26" t="s">
        <v>33</v>
      </c>
      <c r="G7" s="26" t="s">
        <v>67</v>
      </c>
      <c r="H7" s="26" t="s">
        <v>33</v>
      </c>
      <c r="I7" s="26" t="s">
        <v>33</v>
      </c>
      <c r="J7" s="27"/>
      <c r="K7" s="26" t="s">
        <v>68</v>
      </c>
      <c r="L7" s="26" t="s">
        <v>33</v>
      </c>
      <c r="M7" s="26" t="s">
        <v>33</v>
      </c>
      <c r="N7" s="26" t="s">
        <v>69</v>
      </c>
      <c r="O7" s="26" t="s">
        <v>33</v>
      </c>
      <c r="P7" s="26" t="s">
        <v>70</v>
      </c>
      <c r="Q7" s="26"/>
      <c r="T7" s="27"/>
      <c r="U7" s="27" t="s">
        <v>71</v>
      </c>
      <c r="V7" s="26" t="s">
        <v>72</v>
      </c>
      <c r="W7" s="27" t="s">
        <v>33</v>
      </c>
      <c r="X7" s="27"/>
      <c r="Y7" s="27" t="s">
        <v>73</v>
      </c>
      <c r="Z7" s="27" t="s">
        <v>74</v>
      </c>
      <c r="AA7" s="27" t="s">
        <v>33</v>
      </c>
      <c r="AC7" s="4" t="s">
        <v>75</v>
      </c>
      <c r="AD7" s="27" t="s">
        <v>76</v>
      </c>
      <c r="AE7" s="27" t="s">
        <v>77</v>
      </c>
      <c r="AF7" s="27"/>
      <c r="AG7" s="27" t="s">
        <v>78</v>
      </c>
      <c r="AH7" s="27" t="s">
        <v>79</v>
      </c>
      <c r="AI7" s="27"/>
      <c r="AJ7" s="27"/>
      <c r="AK7" s="28" t="s">
        <v>80</v>
      </c>
      <c r="AL7" s="29" t="s">
        <v>81</v>
      </c>
      <c r="AM7" s="27" t="s">
        <v>82</v>
      </c>
      <c r="AN7" s="26" t="s">
        <v>70</v>
      </c>
      <c r="AO7" s="27" t="s">
        <v>38</v>
      </c>
      <c r="AP7" s="27"/>
      <c r="AQ7" s="27"/>
      <c r="AR7" s="27"/>
      <c r="AS7" s="27"/>
      <c r="AT7" s="27" t="s">
        <v>38</v>
      </c>
      <c r="AU7" s="27"/>
      <c r="AV7" s="26" t="s">
        <v>38</v>
      </c>
      <c r="AW7" s="27"/>
      <c r="AX7" s="27"/>
      <c r="AY7" s="26" t="s">
        <v>70</v>
      </c>
      <c r="AZ7" s="27"/>
      <c r="BA7" s="30" t="s">
        <v>16</v>
      </c>
      <c r="BB7" s="30" t="s">
        <v>16</v>
      </c>
      <c r="BC7" s="30" t="s">
        <v>16</v>
      </c>
      <c r="BD7" s="30" t="s">
        <v>16</v>
      </c>
      <c r="BE7" s="30" t="s">
        <v>16</v>
      </c>
      <c r="BF7" s="30" t="s">
        <v>16</v>
      </c>
      <c r="BG7" s="30" t="s">
        <v>16</v>
      </c>
      <c r="BH7" s="30" t="s">
        <v>16</v>
      </c>
      <c r="BI7" s="30" t="s">
        <v>16</v>
      </c>
      <c r="BJ7" s="30" t="s">
        <v>16</v>
      </c>
      <c r="BK7" s="30" t="s">
        <v>16</v>
      </c>
      <c r="BL7" s="30" t="s">
        <v>16</v>
      </c>
      <c r="BM7" s="30" t="s">
        <v>16</v>
      </c>
      <c r="BN7" s="30" t="s">
        <v>16</v>
      </c>
      <c r="BO7" s="30" t="s">
        <v>16</v>
      </c>
      <c r="BP7" s="30" t="s">
        <v>16</v>
      </c>
      <c r="BQ7" s="30" t="s">
        <v>16</v>
      </c>
      <c r="BR7" s="30" t="s">
        <v>16</v>
      </c>
      <c r="BS7" s="30" t="s">
        <v>16</v>
      </c>
      <c r="BT7" s="30" t="s">
        <v>16</v>
      </c>
      <c r="BU7" s="30" t="s">
        <v>16</v>
      </c>
      <c r="BV7" s="30" t="s">
        <v>16</v>
      </c>
    </row>
    <row r="8" spans="3:71" ht="12.75">
      <c r="C8" s="1" t="s">
        <v>83</v>
      </c>
      <c r="H8" s="10"/>
      <c r="I8" s="10"/>
      <c r="AK8" s="31"/>
      <c r="AL8" s="31"/>
      <c r="BS8" s="9">
        <f>SUM(BQ8:BR8)</f>
        <v>0</v>
      </c>
    </row>
    <row r="9" spans="71:74" ht="12.75" hidden="1">
      <c r="BS9" s="9">
        <f aca="true" t="shared" si="0" ref="BS9:BS41">SUM(BQ9:BR9)</f>
        <v>0</v>
      </c>
      <c r="BU9" s="9"/>
      <c r="BV9" s="9"/>
    </row>
    <row r="10" spans="3:74" ht="12.75" hidden="1">
      <c r="C10" s="5"/>
      <c r="H10" s="10"/>
      <c r="I10" s="10"/>
      <c r="BS10" s="9">
        <f t="shared" si="0"/>
        <v>0</v>
      </c>
      <c r="BU10" s="9"/>
      <c r="BV10" s="9"/>
    </row>
    <row r="11" spans="8:74" ht="12.75" hidden="1">
      <c r="H11" s="10"/>
      <c r="I11" s="10"/>
      <c r="BS11" s="9">
        <f t="shared" si="0"/>
        <v>0</v>
      </c>
      <c r="BU11" s="9"/>
      <c r="BV11" s="9"/>
    </row>
    <row r="12" spans="8:74" ht="12.75" hidden="1">
      <c r="H12" s="10"/>
      <c r="I12" s="10"/>
      <c r="BS12" s="9">
        <f t="shared" si="0"/>
        <v>0</v>
      </c>
      <c r="BU12" s="9"/>
      <c r="BV12" s="9"/>
    </row>
    <row r="13" spans="8:74" ht="12.75" hidden="1">
      <c r="H13" s="10"/>
      <c r="I13" s="10"/>
      <c r="BS13" s="9">
        <f t="shared" si="0"/>
        <v>0</v>
      </c>
      <c r="BU13" s="9"/>
      <c r="BV13" s="9"/>
    </row>
    <row r="14" spans="8:74" ht="12.75" hidden="1">
      <c r="H14" s="32"/>
      <c r="I14" s="32"/>
      <c r="K14" s="33"/>
      <c r="BS14" s="9">
        <f t="shared" si="0"/>
        <v>0</v>
      </c>
      <c r="BU14" s="9"/>
      <c r="BV14" s="9"/>
    </row>
    <row r="15" spans="8:74" ht="12.75" hidden="1">
      <c r="H15" s="32"/>
      <c r="I15" s="32"/>
      <c r="K15" s="33"/>
      <c r="BS15" s="9">
        <f t="shared" si="0"/>
        <v>0</v>
      </c>
      <c r="BU15" s="9"/>
      <c r="BV15" s="9"/>
    </row>
    <row r="16" spans="8:74" ht="12.75" hidden="1">
      <c r="H16" s="32"/>
      <c r="I16" s="32"/>
      <c r="K16" s="33"/>
      <c r="BS16" s="9">
        <f t="shared" si="0"/>
        <v>0</v>
      </c>
      <c r="BU16" s="9"/>
      <c r="BV16" s="9"/>
    </row>
    <row r="17" spans="8:74" ht="12.75" hidden="1">
      <c r="H17" s="32"/>
      <c r="I17" s="32"/>
      <c r="K17" s="33"/>
      <c r="BS17" s="9">
        <f t="shared" si="0"/>
        <v>0</v>
      </c>
      <c r="BU17" s="9"/>
      <c r="BV17" s="9"/>
    </row>
    <row r="18" spans="8:74" ht="12.75" hidden="1">
      <c r="H18" s="32"/>
      <c r="I18" s="32"/>
      <c r="K18" s="33"/>
      <c r="BS18" s="9">
        <f t="shared" si="0"/>
        <v>0</v>
      </c>
      <c r="BU18" s="9"/>
      <c r="BV18" s="9"/>
    </row>
    <row r="19" ht="12.75" hidden="1">
      <c r="BS19" s="9">
        <f t="shared" si="0"/>
        <v>0</v>
      </c>
    </row>
    <row r="20" ht="12.75" hidden="1">
      <c r="BS20" s="9">
        <f t="shared" si="0"/>
        <v>0</v>
      </c>
    </row>
    <row r="21" spans="3:74" ht="12.75">
      <c r="C21" s="5" t="s">
        <v>84</v>
      </c>
      <c r="T21" s="9">
        <v>7530</v>
      </c>
      <c r="U21" s="9">
        <f>T21+P21</f>
        <v>7530</v>
      </c>
      <c r="W21" s="9">
        <f>U21+V21</f>
        <v>7530</v>
      </c>
      <c r="Y21" s="9">
        <v>7225</v>
      </c>
      <c r="AA21" s="9">
        <f>W21-Y21-Z21+X21</f>
        <v>305</v>
      </c>
      <c r="AD21" s="9">
        <f>AA21+AB21+AC21</f>
        <v>305</v>
      </c>
      <c r="AE21" s="9">
        <v>-50</v>
      </c>
      <c r="AG21" s="9">
        <f>AD21-AE21-AF21</f>
        <v>355</v>
      </c>
      <c r="AK21" s="9">
        <v>10080</v>
      </c>
      <c r="AM21" s="9">
        <v>7175</v>
      </c>
      <c r="AN21" s="10">
        <v>90.517</v>
      </c>
      <c r="AO21" s="10">
        <f>AM21+AN21</f>
        <v>7265.517</v>
      </c>
      <c r="AP21" s="9">
        <v>690</v>
      </c>
      <c r="AS21" s="9">
        <v>500</v>
      </c>
      <c r="AT21" s="10">
        <f>SUM(AO21:AS21)</f>
        <v>8455.517</v>
      </c>
      <c r="AU21" s="10">
        <v>2361</v>
      </c>
      <c r="AV21" s="10">
        <f>AT21-AU21</f>
        <v>6094.517</v>
      </c>
      <c r="AW21" s="9">
        <f>1900+150-690</f>
        <v>1360</v>
      </c>
      <c r="AX21" s="10">
        <f>AW21+AU21</f>
        <v>3721</v>
      </c>
      <c r="AY21" s="10">
        <v>-21.437</v>
      </c>
      <c r="AZ21" s="10">
        <f>AX21+AY21</f>
        <v>3699.563</v>
      </c>
      <c r="BA21" s="10">
        <v>3700</v>
      </c>
      <c r="BB21" s="10"/>
      <c r="BC21" s="10"/>
      <c r="BD21" s="10">
        <f>BA21+BB21+BC21</f>
        <v>3700</v>
      </c>
      <c r="BF21" s="9">
        <v>250</v>
      </c>
      <c r="BH21" s="9">
        <v>60</v>
      </c>
      <c r="BJ21" s="10"/>
      <c r="BK21" s="10">
        <f>SUM(BE21:BJ21)</f>
        <v>310</v>
      </c>
      <c r="BL21" s="10"/>
      <c r="BM21" s="10">
        <f>SUM(BK21:BL21)</f>
        <v>310</v>
      </c>
      <c r="BN21" s="10"/>
      <c r="BO21" s="10"/>
      <c r="BP21" s="10">
        <f>SUM(BM21:BO21)</f>
        <v>310</v>
      </c>
      <c r="BS21" s="9">
        <f t="shared" si="0"/>
        <v>0</v>
      </c>
      <c r="BU21" s="9"/>
      <c r="BV21" s="9"/>
    </row>
    <row r="22" spans="3:72" s="9" customFormat="1" ht="12.75" customHeight="1" hidden="1">
      <c r="C22" s="34" t="s">
        <v>85</v>
      </c>
      <c r="H22" s="10"/>
      <c r="I22" s="10"/>
      <c r="J22" s="34"/>
      <c r="K22" s="33"/>
      <c r="L22" s="33"/>
      <c r="AA22" s="9">
        <f>W22-Y22-Z22+50</f>
        <v>50</v>
      </c>
      <c r="AD22" s="9">
        <f>AA22+AB22+AC22</f>
        <v>50</v>
      </c>
      <c r="AG22" s="9">
        <f>AD22-AE22-AF22</f>
        <v>50</v>
      </c>
      <c r="AN22" s="10"/>
      <c r="AO22" s="10">
        <f>AM22+AN22</f>
        <v>0</v>
      </c>
      <c r="AV22" s="10"/>
      <c r="AX22" s="10"/>
      <c r="AY22" s="10"/>
      <c r="AZ22" s="10"/>
      <c r="BA22" s="10"/>
      <c r="BB22" s="10"/>
      <c r="BC22" s="10"/>
      <c r="BD22" s="10">
        <f>BA22-BB22-BC22</f>
        <v>0</v>
      </c>
      <c r="BJ22" s="10"/>
      <c r="BK22" s="10">
        <f aca="true" t="shared" si="1" ref="BK22:BK40">SUM(BE22:BJ22)</f>
        <v>0</v>
      </c>
      <c r="BL22" s="10"/>
      <c r="BM22" s="10">
        <f aca="true" t="shared" si="2" ref="BM22:BM41">SUM(BK22:BL22)</f>
        <v>0</v>
      </c>
      <c r="BN22" s="10"/>
      <c r="BO22" s="10"/>
      <c r="BP22" s="10">
        <f aca="true" t="shared" si="3" ref="BP22:BP41">SUM(BM22:BO22)</f>
        <v>0</v>
      </c>
      <c r="BS22" s="9">
        <f t="shared" si="0"/>
        <v>0</v>
      </c>
      <c r="BT22"/>
    </row>
    <row r="23" spans="3:72" s="9" customFormat="1" ht="12.75" customHeight="1" hidden="1">
      <c r="C23" s="9" t="s">
        <v>86</v>
      </c>
      <c r="H23" s="10"/>
      <c r="I23" s="10"/>
      <c r="T23" s="9">
        <v>3500</v>
      </c>
      <c r="U23" s="9">
        <f>T23+P23</f>
        <v>3500</v>
      </c>
      <c r="W23" s="9">
        <f>U23+V23</f>
        <v>3500</v>
      </c>
      <c r="AA23" s="9">
        <f>W23-Y23-Z23-50</f>
        <v>3450</v>
      </c>
      <c r="AD23" s="9">
        <f>AA23+AB23+AC23</f>
        <v>3450</v>
      </c>
      <c r="AE23" s="9">
        <v>0</v>
      </c>
      <c r="AF23" s="9">
        <v>3450</v>
      </c>
      <c r="AG23" s="9">
        <f>AD23-AE23-AF23</f>
        <v>0</v>
      </c>
      <c r="AN23" s="10"/>
      <c r="AO23" s="10">
        <f>AM23+AN23</f>
        <v>0</v>
      </c>
      <c r="AV23" s="10"/>
      <c r="AX23" s="10"/>
      <c r="AY23" s="10"/>
      <c r="AZ23" s="10"/>
      <c r="BA23" s="10"/>
      <c r="BB23" s="10"/>
      <c r="BC23" s="10"/>
      <c r="BD23" s="10">
        <f>BA23-BB23-BC23</f>
        <v>0</v>
      </c>
      <c r="BJ23" s="10"/>
      <c r="BK23" s="10">
        <f t="shared" si="1"/>
        <v>0</v>
      </c>
      <c r="BL23" s="10"/>
      <c r="BM23" s="10">
        <f t="shared" si="2"/>
        <v>0</v>
      </c>
      <c r="BN23" s="10"/>
      <c r="BO23" s="10"/>
      <c r="BP23" s="10">
        <f t="shared" si="3"/>
        <v>0</v>
      </c>
      <c r="BS23" s="9">
        <f t="shared" si="0"/>
        <v>0</v>
      </c>
      <c r="BT23"/>
    </row>
    <row r="24" spans="3:72" s="9" customFormat="1" ht="12.75">
      <c r="C24" s="9" t="s">
        <v>87</v>
      </c>
      <c r="H24" s="10"/>
      <c r="I24" s="10"/>
      <c r="AK24" s="31"/>
      <c r="AL24" s="31"/>
      <c r="AM24" s="9">
        <v>500</v>
      </c>
      <c r="AN24" s="10"/>
      <c r="AO24" s="10">
        <f>AM24+AN24</f>
        <v>500</v>
      </c>
      <c r="AS24" s="9">
        <v>-500</v>
      </c>
      <c r="AT24" s="9">
        <f>SUM(AO24:AS24)</f>
        <v>0</v>
      </c>
      <c r="AV24" s="10"/>
      <c r="AW24" s="9">
        <f>500</f>
        <v>500</v>
      </c>
      <c r="AX24" s="10"/>
      <c r="AY24" s="10"/>
      <c r="AZ24" s="10"/>
      <c r="BA24" s="10"/>
      <c r="BB24" s="10"/>
      <c r="BC24" s="10"/>
      <c r="BD24" s="10"/>
      <c r="BE24" s="10">
        <f>500+500+600</f>
        <v>1600</v>
      </c>
      <c r="BF24" s="10"/>
      <c r="BG24" s="10"/>
      <c r="BH24" s="10"/>
      <c r="BI24" s="10"/>
      <c r="BJ24" s="10"/>
      <c r="BK24" s="10">
        <f t="shared" si="1"/>
        <v>1600</v>
      </c>
      <c r="BL24" s="10">
        <v>-1400</v>
      </c>
      <c r="BM24" s="10">
        <f t="shared" si="2"/>
        <v>200</v>
      </c>
      <c r="BN24" s="10">
        <v>-150</v>
      </c>
      <c r="BO24" s="10"/>
      <c r="BP24" s="10">
        <f t="shared" si="3"/>
        <v>50</v>
      </c>
      <c r="BQ24" s="9">
        <f>1400+1400+800</f>
        <v>3600</v>
      </c>
      <c r="BR24" s="9">
        <v>150</v>
      </c>
      <c r="BS24" s="9">
        <f t="shared" si="0"/>
        <v>3750</v>
      </c>
      <c r="BT24"/>
    </row>
    <row r="25" spans="1:72" s="9" customFormat="1" ht="12.75" customHeight="1" hidden="1">
      <c r="A25" s="9">
        <v>6510</v>
      </c>
      <c r="B25" s="9">
        <v>9538</v>
      </c>
      <c r="C25" s="9" t="s">
        <v>88</v>
      </c>
      <c r="F25" s="9">
        <v>250</v>
      </c>
      <c r="G25" s="9">
        <v>50</v>
      </c>
      <c r="H25" s="10">
        <f>SUM(F25:G25)</f>
        <v>300</v>
      </c>
      <c r="I25" s="10">
        <v>300</v>
      </c>
      <c r="K25" s="9">
        <v>290</v>
      </c>
      <c r="L25" s="9">
        <f>SUM(J25:K25)</f>
        <v>290</v>
      </c>
      <c r="M25" s="9">
        <f>L25-P25</f>
        <v>20</v>
      </c>
      <c r="O25" s="9">
        <f>M25+N25</f>
        <v>20</v>
      </c>
      <c r="P25" s="9">
        <v>270</v>
      </c>
      <c r="U25" s="9">
        <f>T25+P25</f>
        <v>270</v>
      </c>
      <c r="W25" s="9">
        <f>U25+V25</f>
        <v>270</v>
      </c>
      <c r="AA25" s="9">
        <f>W25-Y25-Z25</f>
        <v>270</v>
      </c>
      <c r="AB25" s="9">
        <v>-270</v>
      </c>
      <c r="AD25" s="9">
        <f>AA25+AB25+AC25</f>
        <v>0</v>
      </c>
      <c r="AG25" s="9">
        <f>AD25-AE25-AF25</f>
        <v>0</v>
      </c>
      <c r="AK25" s="31"/>
      <c r="AL25" s="31"/>
      <c r="AN25" s="10"/>
      <c r="AO25" s="10"/>
      <c r="AV25" s="10"/>
      <c r="AW25" s="10"/>
      <c r="AX25" s="10"/>
      <c r="AY25" s="10"/>
      <c r="AZ25" s="10"/>
      <c r="BA25" s="10"/>
      <c r="BB25" s="10"/>
      <c r="BC25" s="10"/>
      <c r="BD25" s="10">
        <f>BA25-BB25-BC25</f>
        <v>0</v>
      </c>
      <c r="BJ25" s="10"/>
      <c r="BK25" s="10">
        <f t="shared" si="1"/>
        <v>0</v>
      </c>
      <c r="BL25" s="10"/>
      <c r="BM25" s="10">
        <f t="shared" si="2"/>
        <v>0</v>
      </c>
      <c r="BN25" s="10"/>
      <c r="BO25" s="10"/>
      <c r="BP25" s="10">
        <f t="shared" si="3"/>
        <v>0</v>
      </c>
      <c r="BS25" s="9">
        <f t="shared" si="0"/>
        <v>0</v>
      </c>
      <c r="BT25"/>
    </row>
    <row r="26" spans="3:72" s="9" customFormat="1" ht="12.75">
      <c r="C26" s="34" t="s">
        <v>89</v>
      </c>
      <c r="H26" s="10"/>
      <c r="I26" s="10">
        <v>8000</v>
      </c>
      <c r="J26" s="9">
        <v>5540</v>
      </c>
      <c r="K26" s="9">
        <v>8000</v>
      </c>
      <c r="L26" s="9">
        <f>SUM(J26:K26)</f>
        <v>13540</v>
      </c>
      <c r="M26" s="9">
        <f>L26-P26-340</f>
        <v>7200</v>
      </c>
      <c r="O26" s="9">
        <f>M26+N26</f>
        <v>7200</v>
      </c>
      <c r="P26" s="9">
        <f>8000-2000</f>
        <v>6000</v>
      </c>
      <c r="U26" s="9">
        <f>T26+P26-200+Q26</f>
        <v>5800</v>
      </c>
      <c r="V26" s="9">
        <v>-464</v>
      </c>
      <c r="W26" s="9">
        <f>U26+V26</f>
        <v>5336</v>
      </c>
      <c r="X26" s="9">
        <v>200</v>
      </c>
      <c r="Y26" s="9">
        <v>5191</v>
      </c>
      <c r="AA26" s="9">
        <f>W26-Y26-Z26+X26</f>
        <v>345</v>
      </c>
      <c r="AD26" s="9">
        <f>AA26+AB26+AC26</f>
        <v>345</v>
      </c>
      <c r="AG26" s="9">
        <f>AD26-AE26-AF26</f>
        <v>345</v>
      </c>
      <c r="AK26" s="9">
        <v>11408</v>
      </c>
      <c r="AL26" s="35">
        <f>7810486.63/1000</f>
        <v>7810.48663</v>
      </c>
      <c r="AM26" s="10">
        <f>Y26-100</f>
        <v>5091</v>
      </c>
      <c r="AN26" s="10">
        <v>105.573</v>
      </c>
      <c r="AO26" s="10">
        <f>AM26+AN26</f>
        <v>5196.573</v>
      </c>
      <c r="AP26" s="10">
        <v>-1300</v>
      </c>
      <c r="AQ26" s="10">
        <v>-400</v>
      </c>
      <c r="AR26" s="10"/>
      <c r="AS26" s="10">
        <v>-20</v>
      </c>
      <c r="AT26" s="10">
        <f>SUM(AO26:AS26)</f>
        <v>3476.5730000000003</v>
      </c>
      <c r="AU26" s="10">
        <v>60</v>
      </c>
      <c r="AV26" s="10">
        <f>AT26-AU26</f>
        <v>3416.5730000000003</v>
      </c>
      <c r="AW26" s="10">
        <v>100</v>
      </c>
      <c r="AX26" s="10">
        <f>AW26+AU26</f>
        <v>160</v>
      </c>
      <c r="AY26" s="10">
        <v>632.056</v>
      </c>
      <c r="AZ26" s="10">
        <f>AX26+AY26</f>
        <v>792.056</v>
      </c>
      <c r="BA26" s="10">
        <v>616</v>
      </c>
      <c r="BB26" s="10"/>
      <c r="BC26" s="10">
        <v>-324</v>
      </c>
      <c r="BD26" s="10">
        <f>BA26+BB26+BC26</f>
        <v>292</v>
      </c>
      <c r="BF26" s="9">
        <v>54</v>
      </c>
      <c r="BJ26" s="10"/>
      <c r="BK26" s="10">
        <f t="shared" si="1"/>
        <v>54</v>
      </c>
      <c r="BL26" s="10"/>
      <c r="BM26" s="10">
        <f t="shared" si="2"/>
        <v>54</v>
      </c>
      <c r="BN26" s="10"/>
      <c r="BO26" s="10"/>
      <c r="BP26" s="10">
        <f t="shared" si="3"/>
        <v>54</v>
      </c>
      <c r="BS26" s="9">
        <f t="shared" si="0"/>
        <v>0</v>
      </c>
      <c r="BT26"/>
    </row>
    <row r="27" spans="3:74" ht="12.75">
      <c r="C27" t="s">
        <v>90</v>
      </c>
      <c r="F27" s="9">
        <v>818</v>
      </c>
      <c r="G27" s="9">
        <v>90</v>
      </c>
      <c r="H27" s="10">
        <v>908</v>
      </c>
      <c r="I27" s="10">
        <v>150</v>
      </c>
      <c r="J27" s="9">
        <v>5000</v>
      </c>
      <c r="L27" s="9">
        <f>SUM(J27:K27)</f>
        <v>5000</v>
      </c>
      <c r="M27" s="9">
        <f>L27-P27</f>
        <v>2000</v>
      </c>
      <c r="O27" s="9">
        <f>M27+N27</f>
        <v>2000</v>
      </c>
      <c r="P27" s="9">
        <f>1000+2000</f>
        <v>3000</v>
      </c>
      <c r="T27" s="9">
        <v>15000</v>
      </c>
      <c r="U27" s="9">
        <f>T27+P27-1000+Q27</f>
        <v>17000</v>
      </c>
      <c r="V27" s="9">
        <v>1039</v>
      </c>
      <c r="W27" s="9">
        <f>U27+V27</f>
        <v>18039</v>
      </c>
      <c r="X27" s="9">
        <v>560</v>
      </c>
      <c r="Y27" s="9">
        <v>11129</v>
      </c>
      <c r="AA27" s="9">
        <f>W27-Y27-2600+X27</f>
        <v>4870</v>
      </c>
      <c r="AD27" s="9">
        <f>AA27+AB27+AC27-350</f>
        <v>4520</v>
      </c>
      <c r="AF27" s="9">
        <v>2000</v>
      </c>
      <c r="AG27" s="9">
        <f>AD27-AE27-AF27</f>
        <v>2520</v>
      </c>
      <c r="AK27" s="9">
        <v>20211</v>
      </c>
      <c r="AL27" s="36">
        <f>3868232.75/1000</f>
        <v>3868.23275</v>
      </c>
      <c r="AM27" s="9">
        <f>Y27-4000</f>
        <v>7129</v>
      </c>
      <c r="AN27" s="10">
        <v>2212.639</v>
      </c>
      <c r="AO27" s="10">
        <f>AM27+AN27</f>
        <v>9341.639</v>
      </c>
      <c r="AT27" s="10">
        <f>SUM(AO27:AS27)</f>
        <v>9341.639</v>
      </c>
      <c r="AU27" s="10">
        <v>4000</v>
      </c>
      <c r="AV27" s="10">
        <f>AT27-AU27</f>
        <v>5341.638999999999</v>
      </c>
      <c r="AW27" s="10">
        <f>4000+1000+2000</f>
        <v>7000</v>
      </c>
      <c r="AX27" s="10">
        <f>AW27+AU27-325</f>
        <v>10675</v>
      </c>
      <c r="AY27" s="10">
        <f>104.186-51.2158</f>
        <v>52.970200000000006</v>
      </c>
      <c r="AZ27" s="10">
        <f>AX27+AY27</f>
        <v>10727.9702</v>
      </c>
      <c r="BA27" s="10">
        <f>10029+699</f>
        <v>10728</v>
      </c>
      <c r="BB27" s="10">
        <v>-1000</v>
      </c>
      <c r="BC27" s="10"/>
      <c r="BD27" s="10">
        <f>BA27+BB27+BC27</f>
        <v>9728</v>
      </c>
      <c r="BE27" s="9">
        <f>325+1000</f>
        <v>1325</v>
      </c>
      <c r="BF27" s="9">
        <v>704</v>
      </c>
      <c r="BJ27" s="10">
        <v>-1000</v>
      </c>
      <c r="BK27" s="10">
        <f t="shared" si="1"/>
        <v>1029</v>
      </c>
      <c r="BL27" s="10"/>
      <c r="BM27" s="10">
        <f t="shared" si="2"/>
        <v>1029</v>
      </c>
      <c r="BN27" s="10"/>
      <c r="BO27" s="10">
        <v>-430</v>
      </c>
      <c r="BP27" s="10">
        <f t="shared" si="3"/>
        <v>599</v>
      </c>
      <c r="BQ27" s="9">
        <v>430</v>
      </c>
      <c r="BS27" s="9">
        <f t="shared" si="0"/>
        <v>430</v>
      </c>
      <c r="BU27" s="9"/>
      <c r="BV27" s="9"/>
    </row>
    <row r="28" spans="3:74" ht="12.75" customHeight="1" hidden="1">
      <c r="C28" t="s">
        <v>86</v>
      </c>
      <c r="H28" s="10"/>
      <c r="I28" s="10"/>
      <c r="AA28" s="9">
        <f>W28-Y28+2600</f>
        <v>2600</v>
      </c>
      <c r="AD28" s="9">
        <f>AA28+AB28+AC28+350</f>
        <v>2950</v>
      </c>
      <c r="AF28" s="9">
        <v>500</v>
      </c>
      <c r="AG28" s="9">
        <f>AD28-AE28-AF28</f>
        <v>2450</v>
      </c>
      <c r="AK28" s="9">
        <v>10080</v>
      </c>
      <c r="AL28" s="35"/>
      <c r="AO28" s="10">
        <f>AM28+AN28</f>
        <v>0</v>
      </c>
      <c r="AW28" s="10"/>
      <c r="AX28" s="10"/>
      <c r="AZ28" s="10"/>
      <c r="BA28" s="10"/>
      <c r="BB28" s="10"/>
      <c r="BC28" s="10"/>
      <c r="BD28" s="10">
        <f>BA28-BB28-BC28</f>
        <v>0</v>
      </c>
      <c r="BJ28" s="10"/>
      <c r="BK28" s="10">
        <f t="shared" si="1"/>
        <v>0</v>
      </c>
      <c r="BL28" s="10"/>
      <c r="BM28" s="10">
        <f t="shared" si="2"/>
        <v>0</v>
      </c>
      <c r="BN28" s="10"/>
      <c r="BO28" s="10"/>
      <c r="BP28" s="10">
        <f t="shared" si="3"/>
        <v>0</v>
      </c>
      <c r="BS28" s="9">
        <f t="shared" si="0"/>
        <v>0</v>
      </c>
      <c r="BU28" s="9"/>
      <c r="BV28" s="9"/>
    </row>
    <row r="29" spans="3:74" ht="12.75" customHeight="1">
      <c r="C29" t="s">
        <v>91</v>
      </c>
      <c r="H29" s="10"/>
      <c r="I29" s="10"/>
      <c r="AL29" s="35"/>
      <c r="AO29" s="10"/>
      <c r="AW29" s="10"/>
      <c r="AX29" s="10"/>
      <c r="AZ29" s="10"/>
      <c r="BA29" s="10"/>
      <c r="BB29" s="10"/>
      <c r="BC29" s="10"/>
      <c r="BD29" s="10"/>
      <c r="BF29" s="9">
        <v>4</v>
      </c>
      <c r="BG29" s="9">
        <f>496-19</f>
        <v>477</v>
      </c>
      <c r="BJ29" s="10"/>
      <c r="BK29" s="10">
        <f t="shared" si="1"/>
        <v>481</v>
      </c>
      <c r="BL29" s="10"/>
      <c r="BM29" s="10">
        <f t="shared" si="2"/>
        <v>481</v>
      </c>
      <c r="BN29" s="10"/>
      <c r="BO29" s="10"/>
      <c r="BP29" s="10">
        <f t="shared" si="3"/>
        <v>481</v>
      </c>
      <c r="BS29" s="9">
        <f t="shared" si="0"/>
        <v>0</v>
      </c>
      <c r="BU29" s="9"/>
      <c r="BV29" s="9"/>
    </row>
    <row r="30" spans="3:72" s="9" customFormat="1" ht="12.75">
      <c r="C30" s="9" t="s">
        <v>305</v>
      </c>
      <c r="H30" s="10"/>
      <c r="I30" s="10"/>
      <c r="AA30" s="9">
        <f>W30-Y30-Z30+200</f>
        <v>200</v>
      </c>
      <c r="AD30" s="9">
        <f>AA30+AB30+AC30</f>
        <v>200</v>
      </c>
      <c r="AG30" s="9">
        <f>AD30-AE30-AF30</f>
        <v>200</v>
      </c>
      <c r="AL30" s="35"/>
      <c r="AN30" s="10"/>
      <c r="AO30" s="10"/>
      <c r="AV30" s="10"/>
      <c r="AW30" s="10"/>
      <c r="AX30" s="10"/>
      <c r="AY30" s="10"/>
      <c r="AZ30" s="10"/>
      <c r="BA30" s="10"/>
      <c r="BB30" s="10"/>
      <c r="BC30" s="10"/>
      <c r="BD30" s="10"/>
      <c r="BF30" s="9">
        <v>388</v>
      </c>
      <c r="BH30" s="9">
        <v>21</v>
      </c>
      <c r="BJ30" s="10">
        <v>200</v>
      </c>
      <c r="BK30" s="10">
        <f t="shared" si="1"/>
        <v>609</v>
      </c>
      <c r="BL30" s="10"/>
      <c r="BM30" s="10">
        <f t="shared" si="2"/>
        <v>609</v>
      </c>
      <c r="BN30" s="10">
        <v>-470</v>
      </c>
      <c r="BO30" s="10"/>
      <c r="BP30" s="10">
        <f t="shared" si="3"/>
        <v>139</v>
      </c>
      <c r="BR30" s="9">
        <v>470</v>
      </c>
      <c r="BS30" s="9">
        <f t="shared" si="0"/>
        <v>470</v>
      </c>
      <c r="BT30"/>
    </row>
    <row r="31" spans="3:72" s="9" customFormat="1" ht="12.75" hidden="1">
      <c r="C31" s="9" t="s">
        <v>86</v>
      </c>
      <c r="H31" s="10"/>
      <c r="I31" s="10"/>
      <c r="J31" s="9" t="s">
        <v>17</v>
      </c>
      <c r="K31" s="33">
        <v>5986</v>
      </c>
      <c r="L31" s="33">
        <v>5986</v>
      </c>
      <c r="M31" s="9">
        <v>0</v>
      </c>
      <c r="O31" s="9">
        <f>M31+N31</f>
        <v>0</v>
      </c>
      <c r="P31" s="33">
        <v>6586</v>
      </c>
      <c r="Q31" s="33"/>
      <c r="U31" s="10">
        <f>T31+P31+Q31</f>
        <v>6586</v>
      </c>
      <c r="V31" s="33">
        <f>-69-538</f>
        <v>-607</v>
      </c>
      <c r="W31" s="9">
        <f>U31+V31</f>
        <v>5979</v>
      </c>
      <c r="X31" s="9">
        <f>-870-200-500-193-200-560</f>
        <v>-2523</v>
      </c>
      <c r="Z31" s="9">
        <f>3279-870-200-500-193-200-560</f>
        <v>756</v>
      </c>
      <c r="AA31" s="9">
        <f>W31-Y31-Z31+X31-200</f>
        <v>2500</v>
      </c>
      <c r="AD31" s="9">
        <f>AA31+AB31+AC31</f>
        <v>2500</v>
      </c>
      <c r="AE31" s="9">
        <v>2430</v>
      </c>
      <c r="AG31" s="9">
        <f>AD31-AE31-AF31</f>
        <v>70</v>
      </c>
      <c r="AK31" s="9">
        <v>2786</v>
      </c>
      <c r="AL31" s="36">
        <f>281903.4/1000</f>
        <v>281.90340000000003</v>
      </c>
      <c r="AM31" s="9">
        <f>AE31</f>
        <v>2430</v>
      </c>
      <c r="AN31" s="10">
        <v>73.877</v>
      </c>
      <c r="AO31" s="10">
        <f>AM31+AN31</f>
        <v>2503.877</v>
      </c>
      <c r="AT31" s="10">
        <f>SUM(AO31:AS31)</f>
        <v>2503.877</v>
      </c>
      <c r="AU31" s="10">
        <v>74</v>
      </c>
      <c r="AV31" s="10">
        <f>AT31-AU31</f>
        <v>2429.877</v>
      </c>
      <c r="AW31" s="10"/>
      <c r="AX31" s="10">
        <f>AW31+AU31</f>
        <v>74</v>
      </c>
      <c r="AY31" s="10">
        <f>350+21.928</f>
        <v>371.928</v>
      </c>
      <c r="AZ31" s="10">
        <f>AX31+AY31</f>
        <v>445.928</v>
      </c>
      <c r="BA31" s="10">
        <v>446</v>
      </c>
      <c r="BB31" s="10"/>
      <c r="BC31" s="10"/>
      <c r="BD31" s="10">
        <f>BA31+BB31+BC31</f>
        <v>446</v>
      </c>
      <c r="BJ31" s="10"/>
      <c r="BK31" s="10">
        <f t="shared" si="1"/>
        <v>0</v>
      </c>
      <c r="BL31" s="10"/>
      <c r="BM31" s="10">
        <f t="shared" si="2"/>
        <v>0</v>
      </c>
      <c r="BN31" s="10"/>
      <c r="BO31" s="10"/>
      <c r="BP31" s="10">
        <f t="shared" si="3"/>
        <v>0</v>
      </c>
      <c r="BS31" s="9">
        <f t="shared" si="0"/>
        <v>0</v>
      </c>
      <c r="BT31"/>
    </row>
    <row r="32" spans="3:72" s="9" customFormat="1" ht="12.75">
      <c r="C32" s="9" t="s">
        <v>93</v>
      </c>
      <c r="H32" s="10"/>
      <c r="I32" s="10"/>
      <c r="AK32" s="37"/>
      <c r="AL32" s="35"/>
      <c r="AN32" s="10"/>
      <c r="AO32" s="10"/>
      <c r="AV32" s="10"/>
      <c r="AW32" s="10"/>
      <c r="AX32" s="10"/>
      <c r="AY32" s="10"/>
      <c r="AZ32" s="10"/>
      <c r="BA32" s="10"/>
      <c r="BB32" s="10"/>
      <c r="BC32" s="10"/>
      <c r="BD32" s="10"/>
      <c r="BJ32" s="10"/>
      <c r="BK32" s="10">
        <f t="shared" si="1"/>
        <v>0</v>
      </c>
      <c r="BL32" s="10"/>
      <c r="BM32" s="10">
        <f t="shared" si="2"/>
        <v>0</v>
      </c>
      <c r="BN32" s="10"/>
      <c r="BO32" s="10"/>
      <c r="BP32" s="10">
        <f t="shared" si="3"/>
        <v>0</v>
      </c>
      <c r="BS32" s="9">
        <f t="shared" si="0"/>
        <v>0</v>
      </c>
      <c r="BT32"/>
    </row>
    <row r="33" spans="3:74" ht="12.75" customHeight="1" hidden="1">
      <c r="C33" t="s">
        <v>94</v>
      </c>
      <c r="F33" s="9">
        <v>2753</v>
      </c>
      <c r="H33" s="10">
        <v>2753</v>
      </c>
      <c r="I33" s="10">
        <v>0</v>
      </c>
      <c r="J33" s="9">
        <v>500</v>
      </c>
      <c r="L33" s="9">
        <f>SUM(J33:K33)</f>
        <v>500</v>
      </c>
      <c r="O33" s="9">
        <f>M33+N33</f>
        <v>0</v>
      </c>
      <c r="P33" s="9">
        <v>500</v>
      </c>
      <c r="AO33" s="10"/>
      <c r="AW33" s="10"/>
      <c r="AX33" s="10"/>
      <c r="AZ33" s="10"/>
      <c r="BA33" s="10"/>
      <c r="BB33" s="10"/>
      <c r="BC33" s="10"/>
      <c r="BD33" s="10"/>
      <c r="BJ33" s="10"/>
      <c r="BK33" s="10">
        <f t="shared" si="1"/>
        <v>0</v>
      </c>
      <c r="BL33" s="10"/>
      <c r="BM33" s="10">
        <f t="shared" si="2"/>
        <v>0</v>
      </c>
      <c r="BN33" s="10"/>
      <c r="BO33" s="10"/>
      <c r="BP33" s="10">
        <f t="shared" si="3"/>
        <v>0</v>
      </c>
      <c r="BS33" s="9">
        <f t="shared" si="0"/>
        <v>0</v>
      </c>
      <c r="BU33" s="9"/>
      <c r="BV33" s="9"/>
    </row>
    <row r="34" spans="1:71" ht="12.75" customHeight="1" hidden="1">
      <c r="A34">
        <v>6510</v>
      </c>
      <c r="B34">
        <v>9416</v>
      </c>
      <c r="C34" t="s">
        <v>95</v>
      </c>
      <c r="F34" s="9">
        <v>50</v>
      </c>
      <c r="H34" s="10">
        <f>SUM(F34:G34)</f>
        <v>50</v>
      </c>
      <c r="I34" s="10">
        <v>130</v>
      </c>
      <c r="J34" s="9">
        <v>150</v>
      </c>
      <c r="K34" s="9">
        <v>120</v>
      </c>
      <c r="L34" s="9">
        <f>SUM(J34:K34)</f>
        <v>270</v>
      </c>
      <c r="M34" s="9">
        <f>L34-P34</f>
        <v>145</v>
      </c>
      <c r="O34" s="9">
        <f>M34+N34</f>
        <v>145</v>
      </c>
      <c r="P34" s="9">
        <v>125</v>
      </c>
      <c r="U34" s="9">
        <f>T34+P34</f>
        <v>125</v>
      </c>
      <c r="W34" s="9">
        <f>U34+V34</f>
        <v>125</v>
      </c>
      <c r="AA34" s="9">
        <f>W34-Y34-Z34</f>
        <v>125</v>
      </c>
      <c r="AB34" s="9">
        <v>-125</v>
      </c>
      <c r="AD34" s="9">
        <f>AA34+AB34+AC34</f>
        <v>0</v>
      </c>
      <c r="AG34" s="9">
        <f>AD34-AE34-AF34</f>
        <v>0</v>
      </c>
      <c r="AO34" s="10"/>
      <c r="AX34" s="10"/>
      <c r="AZ34" s="10"/>
      <c r="BA34" s="10"/>
      <c r="BB34" s="10"/>
      <c r="BC34" s="10"/>
      <c r="BD34" s="10"/>
      <c r="BJ34" s="10"/>
      <c r="BK34" s="10">
        <f t="shared" si="1"/>
        <v>0</v>
      </c>
      <c r="BL34" s="10"/>
      <c r="BM34" s="10">
        <f t="shared" si="2"/>
        <v>0</v>
      </c>
      <c r="BN34" s="10"/>
      <c r="BO34" s="10"/>
      <c r="BP34" s="10">
        <f t="shared" si="3"/>
        <v>0</v>
      </c>
      <c r="BS34" s="9">
        <f t="shared" si="0"/>
        <v>0</v>
      </c>
    </row>
    <row r="35" spans="3:71" ht="12.75" customHeight="1">
      <c r="C35" t="s">
        <v>86</v>
      </c>
      <c r="H35" s="10"/>
      <c r="I35" s="10"/>
      <c r="N35" s="9">
        <v>753</v>
      </c>
      <c r="O35" s="9">
        <f>M35+N35</f>
        <v>753</v>
      </c>
      <c r="AO35" s="10"/>
      <c r="AW35" s="9">
        <f>750</f>
        <v>750</v>
      </c>
      <c r="AX35" s="10">
        <f>AW35+AU35</f>
        <v>750</v>
      </c>
      <c r="AZ35" s="10">
        <f aca="true" t="shared" si="4" ref="AZ35:AZ41">AX35+AY35</f>
        <v>750</v>
      </c>
      <c r="BA35" s="10">
        <v>750</v>
      </c>
      <c r="BB35" s="10"/>
      <c r="BC35" s="10">
        <f>-750</f>
        <v>-750</v>
      </c>
      <c r="BD35" s="10">
        <f aca="true" t="shared" si="5" ref="BD35:BD43">BA35+BB35+BC35</f>
        <v>0</v>
      </c>
      <c r="BJ35" s="10"/>
      <c r="BK35" s="10">
        <f t="shared" si="1"/>
        <v>0</v>
      </c>
      <c r="BL35" s="10"/>
      <c r="BM35" s="10">
        <f t="shared" si="2"/>
        <v>0</v>
      </c>
      <c r="BN35" s="10"/>
      <c r="BO35" s="10"/>
      <c r="BP35" s="10">
        <f t="shared" si="3"/>
        <v>0</v>
      </c>
      <c r="BS35" s="9">
        <f t="shared" si="0"/>
        <v>0</v>
      </c>
    </row>
    <row r="36" spans="3:71" ht="12.75" customHeight="1" hidden="1">
      <c r="C36" t="s">
        <v>96</v>
      </c>
      <c r="H36" s="10"/>
      <c r="I36" s="10"/>
      <c r="U36" s="10">
        <f>T36+P36+Q36</f>
        <v>0</v>
      </c>
      <c r="V36" s="9">
        <v>22</v>
      </c>
      <c r="W36" s="9">
        <f>U36+V36</f>
        <v>22</v>
      </c>
      <c r="AA36" s="9">
        <f>W36-Y36-Z36</f>
        <v>22</v>
      </c>
      <c r="AD36" s="9">
        <f>AA36+AB36+AC36</f>
        <v>22</v>
      </c>
      <c r="AG36" s="9">
        <f>AD36-AE36-AF36</f>
        <v>22</v>
      </c>
      <c r="AO36" s="10"/>
      <c r="AX36" s="10"/>
      <c r="AZ36" s="10">
        <f t="shared" si="4"/>
        <v>0</v>
      </c>
      <c r="BA36" s="10"/>
      <c r="BB36" s="10"/>
      <c r="BC36" s="10"/>
      <c r="BD36" s="10">
        <f t="shared" si="5"/>
        <v>0</v>
      </c>
      <c r="BJ36" s="10"/>
      <c r="BK36" s="10">
        <f t="shared" si="1"/>
        <v>0</v>
      </c>
      <c r="BL36" s="10"/>
      <c r="BM36" s="10">
        <f t="shared" si="2"/>
        <v>0</v>
      </c>
      <c r="BN36" s="10"/>
      <c r="BO36" s="10"/>
      <c r="BP36" s="10">
        <f t="shared" si="3"/>
        <v>0</v>
      </c>
      <c r="BS36" s="9">
        <f t="shared" si="0"/>
        <v>0</v>
      </c>
    </row>
    <row r="37" spans="3:71" ht="12.75">
      <c r="C37" s="38" t="s">
        <v>0</v>
      </c>
      <c r="H37" s="10"/>
      <c r="I37" s="10"/>
      <c r="AO37" s="10"/>
      <c r="AW37" s="9">
        <f>500</f>
        <v>500</v>
      </c>
      <c r="AX37" s="10">
        <f>AW37+AU37-250</f>
        <v>250</v>
      </c>
      <c r="AZ37" s="10">
        <f t="shared" si="4"/>
        <v>250</v>
      </c>
      <c r="BA37" s="10">
        <v>250</v>
      </c>
      <c r="BB37" s="10"/>
      <c r="BC37" s="10"/>
      <c r="BD37" s="10">
        <f t="shared" si="5"/>
        <v>250</v>
      </c>
      <c r="BJ37" s="10"/>
      <c r="BK37" s="10">
        <f t="shared" si="1"/>
        <v>0</v>
      </c>
      <c r="BL37" s="10"/>
      <c r="BM37" s="10">
        <f t="shared" si="2"/>
        <v>0</v>
      </c>
      <c r="BN37" s="10"/>
      <c r="BO37" s="10"/>
      <c r="BP37" s="10">
        <f t="shared" si="3"/>
        <v>0</v>
      </c>
      <c r="BQ37" s="9">
        <v>800</v>
      </c>
      <c r="BS37" s="9">
        <f t="shared" si="0"/>
        <v>800</v>
      </c>
    </row>
    <row r="38" spans="3:74" ht="12.75" customHeight="1" hidden="1">
      <c r="C38" s="38" t="s">
        <v>97</v>
      </c>
      <c r="F38" s="9">
        <v>3500</v>
      </c>
      <c r="G38" s="9">
        <v>50</v>
      </c>
      <c r="H38" s="10">
        <v>3550</v>
      </c>
      <c r="I38" s="10">
        <v>250</v>
      </c>
      <c r="Y38" s="39"/>
      <c r="AO38" s="10"/>
      <c r="AZ38" s="10">
        <f t="shared" si="4"/>
        <v>0</v>
      </c>
      <c r="BA38" s="10"/>
      <c r="BB38" s="10"/>
      <c r="BC38" s="10"/>
      <c r="BD38" s="10">
        <f t="shared" si="5"/>
        <v>0</v>
      </c>
      <c r="BJ38" s="10"/>
      <c r="BK38" s="10">
        <f t="shared" si="1"/>
        <v>0</v>
      </c>
      <c r="BL38" s="10"/>
      <c r="BM38" s="10">
        <f t="shared" si="2"/>
        <v>0</v>
      </c>
      <c r="BN38" s="10"/>
      <c r="BO38" s="10"/>
      <c r="BP38" s="10">
        <f t="shared" si="3"/>
        <v>0</v>
      </c>
      <c r="BS38" s="9">
        <f t="shared" si="0"/>
        <v>0</v>
      </c>
      <c r="BU38" s="9"/>
      <c r="BV38" s="9"/>
    </row>
    <row r="39" spans="3:74" ht="12.75" customHeight="1" hidden="1">
      <c r="C39" s="38" t="s">
        <v>86</v>
      </c>
      <c r="H39" s="10"/>
      <c r="I39" s="10"/>
      <c r="J39" s="9">
        <v>5500</v>
      </c>
      <c r="L39" s="9">
        <f>SUM(J39:K39)</f>
        <v>5500</v>
      </c>
      <c r="M39" s="9">
        <f>L39-P39</f>
        <v>5500</v>
      </c>
      <c r="N39" s="9">
        <v>-250</v>
      </c>
      <c r="O39" s="9">
        <f>M39+N39</f>
        <v>5250</v>
      </c>
      <c r="U39" s="9">
        <f>T39+P39</f>
        <v>0</v>
      </c>
      <c r="X39" s="9">
        <v>870</v>
      </c>
      <c r="AA39" s="9">
        <f>W39-Y39-Z39+X39</f>
        <v>870</v>
      </c>
      <c r="AD39" s="9">
        <f>AA39+AB39+AC39</f>
        <v>870</v>
      </c>
      <c r="AF39" s="9">
        <v>497</v>
      </c>
      <c r="AG39" s="9">
        <f>AD39-AE39-AF39</f>
        <v>373</v>
      </c>
      <c r="AO39" s="10"/>
      <c r="AZ39" s="10">
        <f t="shared" si="4"/>
        <v>0</v>
      </c>
      <c r="BA39" s="10"/>
      <c r="BB39" s="10"/>
      <c r="BC39" s="10"/>
      <c r="BD39" s="10">
        <f t="shared" si="5"/>
        <v>0</v>
      </c>
      <c r="BJ39" s="10"/>
      <c r="BK39" s="10">
        <f t="shared" si="1"/>
        <v>0</v>
      </c>
      <c r="BL39" s="10"/>
      <c r="BM39" s="10">
        <f t="shared" si="2"/>
        <v>0</v>
      </c>
      <c r="BN39" s="10"/>
      <c r="BO39" s="10"/>
      <c r="BP39" s="10">
        <f t="shared" si="3"/>
        <v>0</v>
      </c>
      <c r="BS39" s="9">
        <f t="shared" si="0"/>
        <v>0</v>
      </c>
      <c r="BU39" s="9"/>
      <c r="BV39" s="9"/>
    </row>
    <row r="40" spans="2:74" ht="12.75">
      <c r="B40" t="s">
        <v>98</v>
      </c>
      <c r="C40" s="38" t="s">
        <v>99</v>
      </c>
      <c r="F40" s="9">
        <f>1291+125</f>
        <v>1416</v>
      </c>
      <c r="G40" s="9">
        <f>85-50</f>
        <v>35</v>
      </c>
      <c r="H40" s="10">
        <f>SUM(F40:G40)</f>
        <v>1451</v>
      </c>
      <c r="I40" s="10">
        <f>1700+13</f>
        <v>1713</v>
      </c>
      <c r="J40" s="9">
        <f>1380</f>
        <v>1380</v>
      </c>
      <c r="K40" s="33">
        <v>561</v>
      </c>
      <c r="L40" s="9">
        <f>SUM(J40:K40)</f>
        <v>1941</v>
      </c>
      <c r="M40" s="9">
        <f>L40-P40</f>
        <v>1941</v>
      </c>
      <c r="N40" s="9">
        <v>252</v>
      </c>
      <c r="O40" s="9">
        <f>M40+N40</f>
        <v>2193</v>
      </c>
      <c r="T40" s="9">
        <v>1500</v>
      </c>
      <c r="U40" s="9">
        <f>T40+P40-500</f>
        <v>1000</v>
      </c>
      <c r="V40" s="9">
        <f>602+35</f>
        <v>637</v>
      </c>
      <c r="W40" s="9">
        <f>U40+V40</f>
        <v>1637</v>
      </c>
      <c r="X40" s="9">
        <f>-300+128</f>
        <v>-172</v>
      </c>
      <c r="Z40" s="9">
        <v>35</v>
      </c>
      <c r="AA40" s="9">
        <f>W40-Y40-Z40+X40</f>
        <v>1430</v>
      </c>
      <c r="AB40" s="9">
        <f>270+125</f>
        <v>395</v>
      </c>
      <c r="AD40" s="9">
        <f>AA40+AB40+AC40</f>
        <v>1825</v>
      </c>
      <c r="AG40" s="9">
        <f>AD40-AE40-AF40</f>
        <v>1825</v>
      </c>
      <c r="AH40" s="9">
        <v>-55</v>
      </c>
      <c r="AM40" s="10">
        <v>1100</v>
      </c>
      <c r="AN40" s="10">
        <f>576+278-40</f>
        <v>814</v>
      </c>
      <c r="AO40" s="10">
        <f>AM40+AN40</f>
        <v>1914</v>
      </c>
      <c r="AR40" s="40"/>
      <c r="AS40" s="41">
        <f>300-10-1.5-150-150-27</f>
        <v>-38.5</v>
      </c>
      <c r="AT40" s="10">
        <f>SUM(AO40:AS40)</f>
        <v>1875.5</v>
      </c>
      <c r="AU40" s="10">
        <f>242+600+10+120+29+100+67+178+50-143+10+17+21-86+12-164-20</f>
        <v>1043</v>
      </c>
      <c r="AV40" s="10">
        <f>AT40-AU40</f>
        <v>832.5</v>
      </c>
      <c r="AW40" s="10">
        <v>1100</v>
      </c>
      <c r="AX40" s="10">
        <f>AW40+AU40-600</f>
        <v>1543</v>
      </c>
      <c r="AY40" s="10">
        <v>236.243</v>
      </c>
      <c r="AZ40" s="10">
        <f t="shared" si="4"/>
        <v>1779.243</v>
      </c>
      <c r="BA40" s="10">
        <v>2079</v>
      </c>
      <c r="BB40" s="10"/>
      <c r="BC40" s="10"/>
      <c r="BD40" s="10">
        <f t="shared" si="5"/>
        <v>2079</v>
      </c>
      <c r="BE40" s="10">
        <f>1100+856-300</f>
        <v>1656</v>
      </c>
      <c r="BF40" s="10">
        <f>486+73</f>
        <v>559</v>
      </c>
      <c r="BG40" s="10"/>
      <c r="BH40" s="10"/>
      <c r="BI40" s="10">
        <v>192</v>
      </c>
      <c r="BJ40" s="10">
        <v>200</v>
      </c>
      <c r="BK40" s="10">
        <f t="shared" si="1"/>
        <v>2607</v>
      </c>
      <c r="BL40" s="10">
        <v>-100</v>
      </c>
      <c r="BM40" s="10">
        <f t="shared" si="2"/>
        <v>2507</v>
      </c>
      <c r="BN40" s="10">
        <v>-136</v>
      </c>
      <c r="BO40" s="10"/>
      <c r="BP40" s="10">
        <f t="shared" si="3"/>
        <v>2371</v>
      </c>
      <c r="BQ40" s="10">
        <f>1700+100</f>
        <v>1800</v>
      </c>
      <c r="BR40" s="10">
        <v>136</v>
      </c>
      <c r="BS40" s="9">
        <f t="shared" si="0"/>
        <v>1936</v>
      </c>
      <c r="BT40" s="32">
        <v>1700</v>
      </c>
      <c r="BU40" s="32">
        <v>1700</v>
      </c>
      <c r="BV40" s="32">
        <v>1700</v>
      </c>
    </row>
    <row r="41" spans="3:74" ht="12.75">
      <c r="C41" s="38" t="s">
        <v>100</v>
      </c>
      <c r="H41" s="10"/>
      <c r="I41" s="10"/>
      <c r="K41" s="33"/>
      <c r="AM41" s="10"/>
      <c r="AO41" s="10"/>
      <c r="AR41" s="42"/>
      <c r="AS41" s="42"/>
      <c r="AT41" s="10"/>
      <c r="AU41" s="10"/>
      <c r="AW41" s="10"/>
      <c r="AX41" s="10">
        <v>1400</v>
      </c>
      <c r="AZ41" s="10">
        <f t="shared" si="4"/>
        <v>1400</v>
      </c>
      <c r="BA41" s="10">
        <v>1400</v>
      </c>
      <c r="BB41" s="10">
        <v>-1300</v>
      </c>
      <c r="BC41" s="10"/>
      <c r="BD41" s="10">
        <f t="shared" si="5"/>
        <v>100</v>
      </c>
      <c r="BE41" s="10">
        <f>1400+1300</f>
        <v>2700</v>
      </c>
      <c r="BF41" s="10">
        <v>1</v>
      </c>
      <c r="BG41" s="10"/>
      <c r="BH41" s="10"/>
      <c r="BI41" s="10"/>
      <c r="BJ41" s="10">
        <v>400</v>
      </c>
      <c r="BK41" s="10">
        <f>SUM(BE41:BJ41)</f>
        <v>3101</v>
      </c>
      <c r="BL41" s="10"/>
      <c r="BM41" s="10">
        <f t="shared" si="2"/>
        <v>3101</v>
      </c>
      <c r="BN41" s="10">
        <f>-229-61-400</f>
        <v>-690</v>
      </c>
      <c r="BO41" s="10"/>
      <c r="BP41" s="10">
        <f t="shared" si="3"/>
        <v>2411</v>
      </c>
      <c r="BQ41" s="10">
        <f>1400</f>
        <v>1400</v>
      </c>
      <c r="BR41" s="10">
        <f>290+400</f>
        <v>690</v>
      </c>
      <c r="BS41" s="9">
        <f t="shared" si="0"/>
        <v>2090</v>
      </c>
      <c r="BT41" s="32">
        <v>1400</v>
      </c>
      <c r="BU41">
        <v>1400</v>
      </c>
      <c r="BV41">
        <v>1400</v>
      </c>
    </row>
    <row r="42" spans="3:74" ht="12.75" customHeight="1" hidden="1">
      <c r="C42" s="43" t="s">
        <v>101</v>
      </c>
      <c r="H42" s="10"/>
      <c r="I42" s="10"/>
      <c r="J42" s="9">
        <v>120</v>
      </c>
      <c r="K42" s="9">
        <v>40</v>
      </c>
      <c r="L42" s="9">
        <f>SUM(J42:K42)</f>
        <v>160</v>
      </c>
      <c r="M42" s="9">
        <f>L42-P42</f>
        <v>160</v>
      </c>
      <c r="O42" s="9">
        <f>M42+N42</f>
        <v>160</v>
      </c>
      <c r="AD42" s="9">
        <f>AA42+AB42+AC42</f>
        <v>0</v>
      </c>
      <c r="AG42" s="9">
        <f>AD42-AE42-AF42</f>
        <v>0</v>
      </c>
      <c r="AM42" s="9" t="s">
        <v>17</v>
      </c>
      <c r="AW42" s="9" t="s">
        <v>17</v>
      </c>
      <c r="BD42" s="10">
        <f t="shared" si="5"/>
        <v>0</v>
      </c>
      <c r="BE42" s="9" t="s">
        <v>17</v>
      </c>
      <c r="BJ42" s="10"/>
      <c r="BK42" s="10">
        <f aca="true" t="shared" si="6" ref="BK42:BK47">SUM(BG42:BJ42)</f>
        <v>0</v>
      </c>
      <c r="BL42" s="10"/>
      <c r="BM42" s="10"/>
      <c r="BN42" s="10"/>
      <c r="BO42" s="10"/>
      <c r="BP42" s="10"/>
      <c r="BQ42" s="9" t="s">
        <v>17</v>
      </c>
      <c r="BU42" s="9"/>
      <c r="BV42" s="9"/>
    </row>
    <row r="43" spans="3:74" ht="12.75" hidden="1">
      <c r="C43" s="38" t="s">
        <v>102</v>
      </c>
      <c r="H43" s="10"/>
      <c r="I43" s="10"/>
      <c r="K43" s="9">
        <v>1492</v>
      </c>
      <c r="L43" s="9">
        <f>SUM(J43:K43)</f>
        <v>1492</v>
      </c>
      <c r="M43" s="9">
        <f>L43-P43</f>
        <v>1492</v>
      </c>
      <c r="N43" s="9">
        <v>2550</v>
      </c>
      <c r="O43" s="9">
        <f>M43+N43</f>
        <v>4042</v>
      </c>
      <c r="V43" s="9">
        <v>879</v>
      </c>
      <c r="W43" s="9">
        <f>U43+V43</f>
        <v>879</v>
      </c>
      <c r="AA43" s="9">
        <f>W43-Y43-Z43+X43</f>
        <v>879</v>
      </c>
      <c r="AD43" s="9">
        <f>AA43+AB43+AC43</f>
        <v>879</v>
      </c>
      <c r="AG43" s="9">
        <f>AD43-AE43-AF43</f>
        <v>879</v>
      </c>
      <c r="AH43" s="9">
        <f>966+60+80</f>
        <v>1106</v>
      </c>
      <c r="AN43" s="10">
        <v>193.98831</v>
      </c>
      <c r="AO43" s="10">
        <f>AM43+AN43</f>
        <v>193.98831</v>
      </c>
      <c r="AP43" s="10"/>
      <c r="AQ43" s="10"/>
      <c r="AR43" s="10">
        <v>1.295</v>
      </c>
      <c r="AS43" s="10">
        <f>-2.65-1.295</f>
        <v>-3.945</v>
      </c>
      <c r="AT43" s="10">
        <f>SUM(AO43:AS43)</f>
        <v>191.33831</v>
      </c>
      <c r="AU43" s="10"/>
      <c r="AV43" s="10">
        <f>AT43-AU43</f>
        <v>191.33831</v>
      </c>
      <c r="AX43" s="10"/>
      <c r="AY43" s="10">
        <v>196.76046</v>
      </c>
      <c r="AZ43" s="10">
        <f>AX43+AY43</f>
        <v>196.76046</v>
      </c>
      <c r="BA43" s="10">
        <v>197</v>
      </c>
      <c r="BB43" s="10"/>
      <c r="BC43" s="10"/>
      <c r="BD43" s="10">
        <f t="shared" si="5"/>
        <v>197</v>
      </c>
      <c r="BJ43" s="10"/>
      <c r="BK43" s="10">
        <f t="shared" si="6"/>
        <v>0</v>
      </c>
      <c r="BL43" s="10"/>
      <c r="BM43" s="10"/>
      <c r="BN43" s="10"/>
      <c r="BO43" s="10"/>
      <c r="BP43" s="10"/>
      <c r="BU43" s="9"/>
      <c r="BV43" s="9"/>
    </row>
    <row r="44" spans="3:74" ht="12.75" hidden="1">
      <c r="C44" s="38"/>
      <c r="H44" s="10"/>
      <c r="I44" s="10"/>
      <c r="BD44" s="10"/>
      <c r="BJ44" s="10"/>
      <c r="BK44" s="10">
        <f t="shared" si="6"/>
        <v>0</v>
      </c>
      <c r="BL44" s="10"/>
      <c r="BM44" s="10"/>
      <c r="BN44" s="10"/>
      <c r="BO44" s="10"/>
      <c r="BP44" s="10"/>
      <c r="BU44" s="9"/>
      <c r="BV44" s="9"/>
    </row>
    <row r="45" spans="3:68" ht="12.75" hidden="1">
      <c r="C45" s="44" t="s">
        <v>103</v>
      </c>
      <c r="H45" s="10"/>
      <c r="I45" s="10"/>
      <c r="BD45" s="10"/>
      <c r="BJ45" s="10"/>
      <c r="BK45" s="10">
        <f t="shared" si="6"/>
        <v>0</v>
      </c>
      <c r="BL45" s="10"/>
      <c r="BM45" s="10"/>
      <c r="BN45" s="10"/>
      <c r="BO45" s="10"/>
      <c r="BP45" s="10"/>
    </row>
    <row r="46" spans="3:74" ht="12.75" hidden="1">
      <c r="C46" s="38" t="s">
        <v>104</v>
      </c>
      <c r="F46" s="9">
        <v>1209</v>
      </c>
      <c r="H46" s="33">
        <f>SUM(F46:G46)</f>
        <v>1209</v>
      </c>
      <c r="I46" s="33">
        <v>950</v>
      </c>
      <c r="J46" s="9">
        <v>1400</v>
      </c>
      <c r="K46" s="9">
        <v>75</v>
      </c>
      <c r="L46" s="9">
        <f>SUM(J46:K46)</f>
        <v>1475</v>
      </c>
      <c r="M46" s="9">
        <f>L46-P46</f>
        <v>1475</v>
      </c>
      <c r="N46" s="9">
        <v>-753</v>
      </c>
      <c r="O46" s="9">
        <f>M46+N46</f>
        <v>722</v>
      </c>
      <c r="T46" s="9">
        <v>1450</v>
      </c>
      <c r="U46" s="9">
        <f>T46+P46-500</f>
        <v>950</v>
      </c>
      <c r="W46" s="9">
        <f>U46+V46</f>
        <v>950</v>
      </c>
      <c r="AA46" s="9">
        <f>W46-Y46-Z46+X46</f>
        <v>950</v>
      </c>
      <c r="AD46" s="9">
        <f>AA46+AB46+AC46</f>
        <v>950</v>
      </c>
      <c r="AG46" s="9">
        <f>AD46-AE46-AF46</f>
        <v>950</v>
      </c>
      <c r="AH46" s="9">
        <f>-490</f>
        <v>-490</v>
      </c>
      <c r="AM46" s="10">
        <f>1500-500-400</f>
        <v>600</v>
      </c>
      <c r="AN46" s="10">
        <v>258</v>
      </c>
      <c r="AO46" s="9">
        <f>AM46+AN46</f>
        <v>858</v>
      </c>
      <c r="AT46" s="10">
        <f>SUM(AO46:AS46)</f>
        <v>858</v>
      </c>
      <c r="AU46" s="10">
        <f>119.5+258+157+9</f>
        <v>543.5</v>
      </c>
      <c r="AV46" s="10">
        <f>AT46-AU46</f>
        <v>314.5</v>
      </c>
      <c r="AW46" s="10">
        <f>1600-500-500</f>
        <v>600</v>
      </c>
      <c r="AX46" s="10">
        <f>AW46+AU46</f>
        <v>1143.5</v>
      </c>
      <c r="AY46" s="10">
        <v>102.954</v>
      </c>
      <c r="AZ46" s="10">
        <f>AX46+AY46</f>
        <v>1246.454</v>
      </c>
      <c r="BA46" s="10">
        <v>1246</v>
      </c>
      <c r="BB46" s="10">
        <v>-256</v>
      </c>
      <c r="BC46" s="10"/>
      <c r="BD46" s="10">
        <f>BA46+BB46+BC46</f>
        <v>990</v>
      </c>
      <c r="BE46" s="10"/>
      <c r="BF46" s="10"/>
      <c r="BG46" s="10"/>
      <c r="BH46" s="10"/>
      <c r="BI46" s="10"/>
      <c r="BJ46" s="10"/>
      <c r="BK46" s="10">
        <f t="shared" si="6"/>
        <v>0</v>
      </c>
      <c r="BL46" s="10"/>
      <c r="BM46" s="10"/>
      <c r="BN46" s="10"/>
      <c r="BO46" s="10"/>
      <c r="BP46" s="10"/>
      <c r="BQ46" s="10"/>
      <c r="BR46" s="10"/>
      <c r="BS46" s="10"/>
      <c r="BU46">
        <v>0</v>
      </c>
      <c r="BV46">
        <v>0</v>
      </c>
    </row>
    <row r="47" spans="3:71" ht="12.75" hidden="1">
      <c r="C47" s="38"/>
      <c r="H47" s="33"/>
      <c r="I47" s="33"/>
      <c r="AM47" s="10"/>
      <c r="AO47" s="10"/>
      <c r="AP47" s="10"/>
      <c r="AQ47" s="10"/>
      <c r="AR47" s="10"/>
      <c r="AS47" s="10"/>
      <c r="AT47" s="10"/>
      <c r="AU47" s="10"/>
      <c r="AW47" s="10"/>
      <c r="AX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>
        <f t="shared" si="6"/>
        <v>0</v>
      </c>
      <c r="BL47" s="10"/>
      <c r="BM47" s="10"/>
      <c r="BN47" s="10"/>
      <c r="BO47" s="10"/>
      <c r="BP47" s="10"/>
      <c r="BQ47" s="10"/>
      <c r="BR47" s="10"/>
      <c r="BS47" s="10"/>
    </row>
    <row r="48" spans="3:74" ht="12.75">
      <c r="C48" s="45" t="s">
        <v>105</v>
      </c>
      <c r="D48" s="46"/>
      <c r="E48" s="46"/>
      <c r="F48" s="47"/>
      <c r="G48" s="47"/>
      <c r="H48" s="48"/>
      <c r="I48" s="48"/>
      <c r="J48" s="47"/>
      <c r="K48" s="47"/>
      <c r="L48" s="47"/>
      <c r="M48" s="47"/>
      <c r="N48" s="47"/>
      <c r="O48" s="47"/>
      <c r="P48" s="47"/>
      <c r="Q48" s="47"/>
      <c r="R48" s="46"/>
      <c r="S48" s="46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50"/>
      <c r="BB48" s="50"/>
      <c r="BC48" s="50"/>
      <c r="BD48" s="50"/>
      <c r="BE48" s="50">
        <f>BD128*-1</f>
        <v>633</v>
      </c>
      <c r="BF48" s="50">
        <v>-633</v>
      </c>
      <c r="BG48" s="50"/>
      <c r="BH48" s="50"/>
      <c r="BI48" s="50"/>
      <c r="BJ48" s="50"/>
      <c r="BK48" s="50">
        <f>SUM(BG48:BH48)</f>
        <v>0</v>
      </c>
      <c r="BL48" s="50"/>
      <c r="BM48" s="50">
        <f>SUM(BJ48:BL48)</f>
        <v>0</v>
      </c>
      <c r="BN48" s="50"/>
      <c r="BO48" s="50"/>
      <c r="BP48" s="50">
        <f>SUM(BM48:BO48)</f>
        <v>0</v>
      </c>
      <c r="BQ48" s="50">
        <f>BP128*-1</f>
        <v>1278.6</v>
      </c>
      <c r="BR48" s="50"/>
      <c r="BS48" s="50">
        <f>SUM(BQ48:BR48)</f>
        <v>1278.6</v>
      </c>
      <c r="BT48" s="50">
        <f>BS128*-1</f>
        <v>2131.92</v>
      </c>
      <c r="BU48" s="50">
        <f>BT128*-1</f>
        <v>1047.384</v>
      </c>
      <c r="BV48" s="50">
        <f>BU128*-1</f>
        <v>830.4768</v>
      </c>
    </row>
    <row r="49" spans="3:74" ht="12.75">
      <c r="C49" s="38" t="s">
        <v>106</v>
      </c>
      <c r="F49" s="32">
        <f>SUM(F9:F47)</f>
        <v>9996</v>
      </c>
      <c r="G49" s="32">
        <f>SUM(G9:G47)</f>
        <v>225</v>
      </c>
      <c r="H49" s="32">
        <f>SUM(H9:H47)</f>
        <v>10221</v>
      </c>
      <c r="I49" s="32">
        <f>SUM(I9:I47)</f>
        <v>11493</v>
      </c>
      <c r="J49" s="32">
        <f>SUM(J19:J46)</f>
        <v>19590</v>
      </c>
      <c r="K49" s="32">
        <f>SUM(K19:K46)</f>
        <v>16564</v>
      </c>
      <c r="L49" s="32">
        <f>SUM(L19:L46)</f>
        <v>36154</v>
      </c>
      <c r="M49" s="32">
        <f>SUM(M19:M46)</f>
        <v>19933</v>
      </c>
      <c r="N49" s="32"/>
      <c r="O49" s="32">
        <f>SUM(O19:O46)</f>
        <v>22485</v>
      </c>
      <c r="P49" s="32">
        <f>SUM(P19:P46)</f>
        <v>16481</v>
      </c>
      <c r="Q49" s="32"/>
      <c r="T49" s="32">
        <f>SUM(T19:T47)</f>
        <v>28980</v>
      </c>
      <c r="U49" s="32">
        <f>SUM(U19:U47)</f>
        <v>42761</v>
      </c>
      <c r="V49" s="32">
        <f aca="true" t="shared" si="7" ref="V49:AA49">SUM(V19:V46)</f>
        <v>1506</v>
      </c>
      <c r="W49" s="32">
        <f t="shared" si="7"/>
        <v>44267</v>
      </c>
      <c r="X49" s="32">
        <f t="shared" si="7"/>
        <v>-1065</v>
      </c>
      <c r="Y49" s="32">
        <f t="shared" si="7"/>
        <v>23545</v>
      </c>
      <c r="Z49" s="32">
        <f t="shared" si="7"/>
        <v>791</v>
      </c>
      <c r="AA49" s="32">
        <f t="shared" si="7"/>
        <v>18866</v>
      </c>
      <c r="AB49" s="32"/>
      <c r="AC49" s="32"/>
      <c r="AD49" s="32">
        <f>SUM(AD19:AD46)</f>
        <v>18866</v>
      </c>
      <c r="AE49" s="32">
        <f>SUM(AE19:AE46)</f>
        <v>2380</v>
      </c>
      <c r="AF49" s="32">
        <f>SUM(AF19:AF46)</f>
        <v>6447</v>
      </c>
      <c r="AG49" s="32">
        <f>SUM(AG19:AG46)</f>
        <v>10039</v>
      </c>
      <c r="AH49" s="32">
        <f>SUM(AH19:AH46)</f>
        <v>561</v>
      </c>
      <c r="AI49" s="32"/>
      <c r="AJ49" s="32"/>
      <c r="AK49" s="32"/>
      <c r="AL49" s="32"/>
      <c r="AM49" s="32">
        <f aca="true" t="shared" si="8" ref="AM49:AZ49">SUM(AM19:AM47)</f>
        <v>24025</v>
      </c>
      <c r="AN49" s="32">
        <f t="shared" si="8"/>
        <v>3748.5943100000004</v>
      </c>
      <c r="AO49" s="32">
        <f t="shared" si="8"/>
        <v>27773.59431</v>
      </c>
      <c r="AP49" s="32">
        <f t="shared" si="8"/>
        <v>-610</v>
      </c>
      <c r="AQ49" s="32">
        <f t="shared" si="8"/>
        <v>-400</v>
      </c>
      <c r="AR49" s="32">
        <f t="shared" si="8"/>
        <v>1.295</v>
      </c>
      <c r="AS49" s="32">
        <f t="shared" si="8"/>
        <v>-62.445</v>
      </c>
      <c r="AT49" s="32">
        <f t="shared" si="8"/>
        <v>26702.44431</v>
      </c>
      <c r="AU49" s="32">
        <f t="shared" si="8"/>
        <v>8081.5</v>
      </c>
      <c r="AV49" s="32">
        <f t="shared" si="8"/>
        <v>18620.94431</v>
      </c>
      <c r="AW49" s="32">
        <f t="shared" si="8"/>
        <v>11910</v>
      </c>
      <c r="AX49" s="32">
        <f t="shared" si="8"/>
        <v>19716.5</v>
      </c>
      <c r="AY49" s="32">
        <f t="shared" si="8"/>
        <v>1571.4746599999999</v>
      </c>
      <c r="AZ49" s="32">
        <f t="shared" si="8"/>
        <v>21287.974660000003</v>
      </c>
      <c r="BA49" s="32">
        <f aca="true" t="shared" si="9" ref="BA49:BV49">SUM(BA21:BA48)</f>
        <v>21412</v>
      </c>
      <c r="BB49" s="32">
        <f t="shared" si="9"/>
        <v>-2556</v>
      </c>
      <c r="BC49" s="32">
        <f t="shared" si="9"/>
        <v>-1074</v>
      </c>
      <c r="BD49" s="32">
        <f t="shared" si="9"/>
        <v>17782</v>
      </c>
      <c r="BE49" s="32">
        <f t="shared" si="9"/>
        <v>7914</v>
      </c>
      <c r="BF49" s="32">
        <f t="shared" si="9"/>
        <v>1327</v>
      </c>
      <c r="BG49" s="32">
        <f t="shared" si="9"/>
        <v>477</v>
      </c>
      <c r="BH49" s="32">
        <f t="shared" si="9"/>
        <v>81</v>
      </c>
      <c r="BI49" s="32">
        <f t="shared" si="9"/>
        <v>192</v>
      </c>
      <c r="BJ49" s="32">
        <f t="shared" si="9"/>
        <v>-200</v>
      </c>
      <c r="BK49" s="32">
        <f aca="true" t="shared" si="10" ref="BK49:BP49">SUM(BK21:BK48)</f>
        <v>9791</v>
      </c>
      <c r="BL49" s="32">
        <f t="shared" si="10"/>
        <v>-1500</v>
      </c>
      <c r="BM49" s="32">
        <f t="shared" si="10"/>
        <v>8291</v>
      </c>
      <c r="BN49" s="32">
        <f t="shared" si="10"/>
        <v>-1446</v>
      </c>
      <c r="BO49" s="32">
        <f t="shared" si="10"/>
        <v>-430</v>
      </c>
      <c r="BP49" s="32">
        <f t="shared" si="10"/>
        <v>6415</v>
      </c>
      <c r="BQ49" s="32">
        <f>SUM(BQ21:BQ48)</f>
        <v>9308.6</v>
      </c>
      <c r="BR49" s="32">
        <f>SUM(BR21:BR48)</f>
        <v>1446</v>
      </c>
      <c r="BS49" s="32">
        <f>SUM(BS21:BS48)</f>
        <v>10754.6</v>
      </c>
      <c r="BT49" s="32">
        <f t="shared" si="9"/>
        <v>5231.92</v>
      </c>
      <c r="BU49" s="32">
        <f t="shared" si="9"/>
        <v>4147.384</v>
      </c>
      <c r="BV49" s="32">
        <f t="shared" si="9"/>
        <v>3930.4768</v>
      </c>
    </row>
    <row r="50" spans="3:71" ht="13.5" customHeight="1">
      <c r="C50" s="38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10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</row>
    <row r="51" spans="2:56" ht="12.75" hidden="1">
      <c r="B51">
        <v>9541</v>
      </c>
      <c r="C51" s="38" t="s">
        <v>107</v>
      </c>
      <c r="G51" s="9">
        <v>181</v>
      </c>
      <c r="H51" s="10">
        <f>SUM(F51:G51)</f>
        <v>181</v>
      </c>
      <c r="I51" s="10">
        <v>181</v>
      </c>
      <c r="K51" s="9">
        <v>90</v>
      </c>
      <c r="L51" s="9">
        <f>SUM(J51:K51)</f>
        <v>90</v>
      </c>
      <c r="M51" s="9">
        <f>L51-P51</f>
        <v>90</v>
      </c>
      <c r="O51" s="9">
        <f>M51+N51</f>
        <v>90</v>
      </c>
      <c r="V51" s="9">
        <v>65</v>
      </c>
      <c r="W51" s="9">
        <f>U51+V51</f>
        <v>65</v>
      </c>
      <c r="AA51" s="9">
        <f>W51-Y51-Z51+X51</f>
        <v>65</v>
      </c>
      <c r="AD51" s="9">
        <f>AA51+AB51+AC51</f>
        <v>65</v>
      </c>
      <c r="AG51" s="9">
        <f>AD51-AE51-AF51</f>
        <v>65</v>
      </c>
      <c r="AO51" s="9">
        <f>AM51+AN51</f>
        <v>0</v>
      </c>
      <c r="BD51" s="10">
        <f aca="true" t="shared" si="11" ref="BD51:BD56">BA51-BB51-BC51</f>
        <v>0</v>
      </c>
    </row>
    <row r="52" spans="3:56" ht="12.75" hidden="1">
      <c r="C52" s="38" t="s">
        <v>108</v>
      </c>
      <c r="H52" s="10"/>
      <c r="I52" s="10"/>
      <c r="AC52" s="9">
        <v>100</v>
      </c>
      <c r="AD52" s="9">
        <f>AA52+AB52+AC52</f>
        <v>100</v>
      </c>
      <c r="AG52" s="9">
        <f>AD52-AE52-AF52</f>
        <v>100</v>
      </c>
      <c r="AO52" s="9">
        <f>AM52+AN52</f>
        <v>0</v>
      </c>
      <c r="BD52" s="10">
        <f t="shared" si="11"/>
        <v>0</v>
      </c>
    </row>
    <row r="53" spans="3:56" ht="12.75" hidden="1">
      <c r="C53" s="38" t="s">
        <v>109</v>
      </c>
      <c r="H53" s="10"/>
      <c r="I53" s="10"/>
      <c r="AB53" s="9">
        <v>800</v>
      </c>
      <c r="AD53" s="9">
        <f>AA53+AB53+AC53</f>
        <v>800</v>
      </c>
      <c r="AG53" s="9">
        <f>AD53-AE53-AF53</f>
        <v>800</v>
      </c>
      <c r="AO53" s="9">
        <f>AM53+AN53</f>
        <v>0</v>
      </c>
      <c r="BD53" s="10">
        <f t="shared" si="11"/>
        <v>0</v>
      </c>
    </row>
    <row r="54" spans="2:56" ht="12.75" hidden="1">
      <c r="B54">
        <v>9553</v>
      </c>
      <c r="C54" s="38" t="s">
        <v>110</v>
      </c>
      <c r="H54" s="10"/>
      <c r="I54" s="10"/>
      <c r="X54" s="9">
        <v>300</v>
      </c>
      <c r="AA54" s="9">
        <f>W54-Y54-Z54+X54</f>
        <v>300</v>
      </c>
      <c r="AD54" s="9">
        <f>AA54+AB54+AC54</f>
        <v>300</v>
      </c>
      <c r="AG54" s="9">
        <f>AD54-AE54-AF54</f>
        <v>300</v>
      </c>
      <c r="AO54" s="9">
        <f>AM54+AN54</f>
        <v>0</v>
      </c>
      <c r="BD54" s="10">
        <f t="shared" si="11"/>
        <v>0</v>
      </c>
    </row>
    <row r="55" spans="2:74" ht="12.75">
      <c r="B55" s="51" t="s">
        <v>111</v>
      </c>
      <c r="C55" s="38" t="s">
        <v>112</v>
      </c>
      <c r="H55" s="10"/>
      <c r="I55" s="10"/>
      <c r="V55" s="9">
        <f>37+18</f>
        <v>55</v>
      </c>
      <c r="W55" s="9">
        <f>U55+V55</f>
        <v>55</v>
      </c>
      <c r="AA55" s="9">
        <f>W55-Y55-Z55+X55</f>
        <v>55</v>
      </c>
      <c r="AD55" s="9">
        <f>AA55+AB55+AC55</f>
        <v>55</v>
      </c>
      <c r="AG55" s="9">
        <f>AD55-AE55-AF55</f>
        <v>55</v>
      </c>
      <c r="AH55" s="9">
        <f>707</f>
        <v>707</v>
      </c>
      <c r="AN55" s="10">
        <v>695.12476</v>
      </c>
      <c r="AO55" s="10">
        <f>AM55+AN55</f>
        <v>695.12476</v>
      </c>
      <c r="AP55" s="10"/>
      <c r="AQ55" s="10"/>
      <c r="AR55" s="10"/>
      <c r="AS55" s="10">
        <f>222.354-37-110</f>
        <v>75.35400000000001</v>
      </c>
      <c r="AT55" s="10">
        <f>SUM(AO55:AS55)</f>
        <v>770.4787600000001</v>
      </c>
      <c r="AU55" s="10"/>
      <c r="AV55" s="10">
        <f>AT55-AU55</f>
        <v>770.4787600000001</v>
      </c>
      <c r="AX55" s="10"/>
      <c r="AY55" s="10">
        <v>35.15968</v>
      </c>
      <c r="AZ55" s="10">
        <f>AX55+AY55</f>
        <v>35.15968</v>
      </c>
      <c r="BA55" s="49">
        <v>35</v>
      </c>
      <c r="BB55" s="49"/>
      <c r="BC55" s="49"/>
      <c r="BD55" s="49">
        <f t="shared" si="11"/>
        <v>35</v>
      </c>
      <c r="BE55" s="47">
        <v>300</v>
      </c>
      <c r="BF55" s="47">
        <v>122</v>
      </c>
      <c r="BG55" s="49">
        <v>47.42</v>
      </c>
      <c r="BH55" s="47">
        <v>6</v>
      </c>
      <c r="BI55" s="47"/>
      <c r="BJ55" s="47"/>
      <c r="BK55" s="49">
        <f>SUM(BE55:BJ55)</f>
        <v>475.42</v>
      </c>
      <c r="BL55" s="47"/>
      <c r="BM55" s="49">
        <f>SUM(BJ55:BL55)</f>
        <v>475.42</v>
      </c>
      <c r="BN55" s="49">
        <v>-300</v>
      </c>
      <c r="BO55" s="49"/>
      <c r="BP55" s="49">
        <f>SUM(BM55:BO55)</f>
        <v>175.42000000000002</v>
      </c>
      <c r="BQ55" s="47"/>
      <c r="BR55" s="47">
        <v>300</v>
      </c>
      <c r="BS55" s="47">
        <f>SUM(BQ55:BR55)</f>
        <v>300</v>
      </c>
      <c r="BT55" s="46"/>
      <c r="BU55" s="46"/>
      <c r="BV55" s="46"/>
    </row>
    <row r="56" spans="3:74" ht="12.75">
      <c r="C56" s="38" t="s">
        <v>113</v>
      </c>
      <c r="F56" s="32">
        <f aca="true" t="shared" si="12" ref="F56:M56">SUM(F51:F51)</f>
        <v>0</v>
      </c>
      <c r="G56" s="32">
        <f t="shared" si="12"/>
        <v>181</v>
      </c>
      <c r="H56" s="32">
        <f t="shared" si="12"/>
        <v>181</v>
      </c>
      <c r="I56" s="32">
        <f t="shared" si="12"/>
        <v>181</v>
      </c>
      <c r="J56" s="32">
        <f t="shared" si="12"/>
        <v>0</v>
      </c>
      <c r="K56" s="32">
        <f t="shared" si="12"/>
        <v>90</v>
      </c>
      <c r="L56" s="32">
        <f t="shared" si="12"/>
        <v>90</v>
      </c>
      <c r="M56" s="32">
        <f t="shared" si="12"/>
        <v>90</v>
      </c>
      <c r="N56" s="32"/>
      <c r="O56" s="32">
        <f>SUM(O51:O55)</f>
        <v>90</v>
      </c>
      <c r="P56" s="32"/>
      <c r="Q56" s="32"/>
      <c r="T56" s="32">
        <f>SUM(T51:T51)</f>
        <v>0</v>
      </c>
      <c r="U56" s="32"/>
      <c r="V56" s="32">
        <f>SUM(V51:V55)</f>
        <v>120</v>
      </c>
      <c r="W56" s="32">
        <f>SUM(W51:W55)</f>
        <v>120</v>
      </c>
      <c r="X56" s="32">
        <f>SUM(X51:X55)</f>
        <v>300</v>
      </c>
      <c r="Y56" s="32">
        <f>SUM(Y51:Y55)</f>
        <v>0</v>
      </c>
      <c r="Z56" s="32">
        <f>SUM(Z51:Z55)</f>
        <v>0</v>
      </c>
      <c r="AA56" s="9">
        <f>W56-Y56-Z56+X56</f>
        <v>420</v>
      </c>
      <c r="AB56" s="9">
        <f aca="true" t="shared" si="13" ref="AB56:AH56">SUM(AB51:AB55)</f>
        <v>800</v>
      </c>
      <c r="AC56" s="9">
        <f t="shared" si="13"/>
        <v>100</v>
      </c>
      <c r="AD56" s="9">
        <f t="shared" si="13"/>
        <v>1320</v>
      </c>
      <c r="AE56" s="9">
        <f t="shared" si="13"/>
        <v>0</v>
      </c>
      <c r="AF56" s="9">
        <f t="shared" si="13"/>
        <v>0</v>
      </c>
      <c r="AG56" s="9">
        <f t="shared" si="13"/>
        <v>1320</v>
      </c>
      <c r="AH56" s="9">
        <f t="shared" si="13"/>
        <v>707</v>
      </c>
      <c r="AM56" s="32">
        <f>SUM(AM51:AM51)</f>
        <v>0</v>
      </c>
      <c r="AN56" s="32">
        <f aca="true" t="shared" si="14" ref="AN56:AV56">SUM(AN51:AN55)</f>
        <v>695.12476</v>
      </c>
      <c r="AO56" s="32">
        <f t="shared" si="14"/>
        <v>695.12476</v>
      </c>
      <c r="AP56" s="32">
        <f t="shared" si="14"/>
        <v>0</v>
      </c>
      <c r="AQ56" s="32">
        <f t="shared" si="14"/>
        <v>0</v>
      </c>
      <c r="AR56" s="32">
        <f t="shared" si="14"/>
        <v>0</v>
      </c>
      <c r="AS56" s="32">
        <f t="shared" si="14"/>
        <v>75.35400000000001</v>
      </c>
      <c r="AT56" s="32">
        <f t="shared" si="14"/>
        <v>770.4787600000001</v>
      </c>
      <c r="AU56" s="32">
        <f t="shared" si="14"/>
        <v>0</v>
      </c>
      <c r="AV56" s="32">
        <f t="shared" si="14"/>
        <v>770.4787600000001</v>
      </c>
      <c r="AW56" s="32">
        <f>SUM(AW51:AW51)</f>
        <v>0</v>
      </c>
      <c r="AX56" s="32">
        <f>SUM(AX51:AX51)</f>
        <v>0</v>
      </c>
      <c r="AY56" s="32">
        <f>SUM(AY51:AY55)</f>
        <v>35.15968</v>
      </c>
      <c r="AZ56" s="32">
        <f>SUM(AZ51:AZ55)</f>
        <v>35.15968</v>
      </c>
      <c r="BA56" s="32">
        <f>SUM(BA55:BA55)</f>
        <v>35</v>
      </c>
      <c r="BB56" s="32">
        <f>SUM(BB55:BB55)</f>
        <v>0</v>
      </c>
      <c r="BC56" s="32">
        <f>SUM(BC55:BC55)</f>
        <v>0</v>
      </c>
      <c r="BD56" s="10">
        <f t="shared" si="11"/>
        <v>35</v>
      </c>
      <c r="BE56" s="32">
        <f aca="true" t="shared" si="15" ref="BE56:BV56">SUM(BE55:BE55)</f>
        <v>300</v>
      </c>
      <c r="BF56" s="32">
        <f t="shared" si="15"/>
        <v>122</v>
      </c>
      <c r="BG56" s="32">
        <f t="shared" si="15"/>
        <v>47.42</v>
      </c>
      <c r="BH56" s="32">
        <f t="shared" si="15"/>
        <v>6</v>
      </c>
      <c r="BI56" s="32">
        <f t="shared" si="15"/>
        <v>0</v>
      </c>
      <c r="BJ56" s="32">
        <f>SUM(BJ55:BJ55)</f>
        <v>0</v>
      </c>
      <c r="BK56" s="32">
        <f>SUM(BK55:BK55)</f>
        <v>475.42</v>
      </c>
      <c r="BL56" s="32">
        <f>SUM(BL55:BL55)</f>
        <v>0</v>
      </c>
      <c r="BM56" s="32">
        <f>SUM(BM55)</f>
        <v>475.42</v>
      </c>
      <c r="BN56" s="32">
        <f>SUM(BN55)</f>
        <v>-300</v>
      </c>
      <c r="BO56" s="32">
        <f>SUM(BO55)</f>
        <v>0</v>
      </c>
      <c r="BP56" s="32">
        <f>SUM(BM56:BO56)</f>
        <v>175.42000000000002</v>
      </c>
      <c r="BQ56" s="32">
        <f t="shared" si="15"/>
        <v>0</v>
      </c>
      <c r="BR56" s="32">
        <f>SUM(BR55:BR55)</f>
        <v>300</v>
      </c>
      <c r="BS56" s="32">
        <f>SUM(BS55:BS55)</f>
        <v>300</v>
      </c>
      <c r="BT56" s="32">
        <f t="shared" si="15"/>
        <v>0</v>
      </c>
      <c r="BU56" s="32">
        <f t="shared" si="15"/>
        <v>0</v>
      </c>
      <c r="BV56" s="32">
        <f t="shared" si="15"/>
        <v>0</v>
      </c>
    </row>
    <row r="57" spans="3:72" ht="12.75">
      <c r="C57" s="38"/>
      <c r="H57" s="32"/>
      <c r="I57" s="32"/>
      <c r="BD57" s="10"/>
      <c r="BT57" s="9"/>
    </row>
    <row r="58" spans="1:74" ht="12.75">
      <c r="A58" s="1"/>
      <c r="B58" s="1"/>
      <c r="C58" s="44" t="s">
        <v>114</v>
      </c>
      <c r="D58" s="52"/>
      <c r="E58" s="52"/>
      <c r="F58" s="53">
        <f aca="true" t="shared" si="16" ref="F58:M58">+F56+F49</f>
        <v>9996</v>
      </c>
      <c r="G58" s="53">
        <f t="shared" si="16"/>
        <v>406</v>
      </c>
      <c r="H58" s="53">
        <f t="shared" si="16"/>
        <v>10402</v>
      </c>
      <c r="I58" s="53">
        <f t="shared" si="16"/>
        <v>11674</v>
      </c>
      <c r="J58" s="53">
        <f t="shared" si="16"/>
        <v>19590</v>
      </c>
      <c r="K58" s="53">
        <f t="shared" si="16"/>
        <v>16654</v>
      </c>
      <c r="L58" s="53">
        <f t="shared" si="16"/>
        <v>36244</v>
      </c>
      <c r="M58" s="53">
        <f t="shared" si="16"/>
        <v>20023</v>
      </c>
      <c r="N58" s="53"/>
      <c r="O58" s="53">
        <f>+O56+O49</f>
        <v>22575</v>
      </c>
      <c r="P58" s="53">
        <f>+P56+P49</f>
        <v>16481</v>
      </c>
      <c r="Q58" s="53"/>
      <c r="R58" s="54"/>
      <c r="S58" s="54"/>
      <c r="T58" s="53">
        <f aca="true" t="shared" si="17" ref="T58:AH58">+T56+T49</f>
        <v>28980</v>
      </c>
      <c r="U58" s="53">
        <f t="shared" si="17"/>
        <v>42761</v>
      </c>
      <c r="V58" s="53">
        <f t="shared" si="17"/>
        <v>1626</v>
      </c>
      <c r="W58" s="53">
        <f t="shared" si="17"/>
        <v>44387</v>
      </c>
      <c r="X58" s="53">
        <f t="shared" si="17"/>
        <v>-765</v>
      </c>
      <c r="Y58" s="53">
        <f t="shared" si="17"/>
        <v>23545</v>
      </c>
      <c r="Z58" s="53">
        <f t="shared" si="17"/>
        <v>791</v>
      </c>
      <c r="AA58" s="53">
        <f t="shared" si="17"/>
        <v>19286</v>
      </c>
      <c r="AB58" s="53">
        <f t="shared" si="17"/>
        <v>800</v>
      </c>
      <c r="AC58" s="53">
        <f t="shared" si="17"/>
        <v>100</v>
      </c>
      <c r="AD58" s="53">
        <f t="shared" si="17"/>
        <v>20186</v>
      </c>
      <c r="AE58" s="53">
        <f t="shared" si="17"/>
        <v>2380</v>
      </c>
      <c r="AF58" s="53">
        <f t="shared" si="17"/>
        <v>6447</v>
      </c>
      <c r="AG58" s="53">
        <f t="shared" si="17"/>
        <v>11359</v>
      </c>
      <c r="AH58" s="53">
        <f t="shared" si="17"/>
        <v>1268</v>
      </c>
      <c r="AI58" s="53"/>
      <c r="AJ58" s="53"/>
      <c r="AK58" s="53"/>
      <c r="AL58" s="53"/>
      <c r="AM58" s="53">
        <f aca="true" t="shared" si="18" ref="AM58:AZ58">+AM56+AM49</f>
        <v>24025</v>
      </c>
      <c r="AN58" s="53">
        <f t="shared" si="18"/>
        <v>4443.71907</v>
      </c>
      <c r="AO58" s="53">
        <f t="shared" si="18"/>
        <v>28468.71907</v>
      </c>
      <c r="AP58" s="53">
        <f t="shared" si="18"/>
        <v>-610</v>
      </c>
      <c r="AQ58" s="53">
        <f t="shared" si="18"/>
        <v>-400</v>
      </c>
      <c r="AR58" s="53">
        <f t="shared" si="18"/>
        <v>1.295</v>
      </c>
      <c r="AS58" s="53">
        <f t="shared" si="18"/>
        <v>12.909000000000013</v>
      </c>
      <c r="AT58" s="53">
        <f t="shared" si="18"/>
        <v>27472.92307</v>
      </c>
      <c r="AU58" s="53">
        <f t="shared" si="18"/>
        <v>8081.5</v>
      </c>
      <c r="AV58" s="53">
        <f t="shared" si="18"/>
        <v>19391.42307</v>
      </c>
      <c r="AW58" s="53">
        <f t="shared" si="18"/>
        <v>11910</v>
      </c>
      <c r="AX58" s="53">
        <f t="shared" si="18"/>
        <v>19716.5</v>
      </c>
      <c r="AY58" s="53">
        <f t="shared" si="18"/>
        <v>1606.6343399999998</v>
      </c>
      <c r="AZ58" s="53">
        <f t="shared" si="18"/>
        <v>21323.134340000004</v>
      </c>
      <c r="BA58" s="53">
        <f>BA56+BA49</f>
        <v>21447</v>
      </c>
      <c r="BB58" s="53">
        <f>BB56+BB49</f>
        <v>-2556</v>
      </c>
      <c r="BC58" s="53">
        <f>BC56+BC49</f>
        <v>-1074</v>
      </c>
      <c r="BD58" s="53">
        <f>BD56+BD49</f>
        <v>17817</v>
      </c>
      <c r="BE58" s="53">
        <f aca="true" t="shared" si="19" ref="BE58:BU58">+BE56+BE49</f>
        <v>8214</v>
      </c>
      <c r="BF58" s="53">
        <f t="shared" si="19"/>
        <v>1449</v>
      </c>
      <c r="BG58" s="53">
        <f t="shared" si="19"/>
        <v>524.42</v>
      </c>
      <c r="BH58" s="53">
        <f t="shared" si="19"/>
        <v>87</v>
      </c>
      <c r="BI58" s="53">
        <f t="shared" si="19"/>
        <v>192</v>
      </c>
      <c r="BJ58" s="53">
        <f t="shared" si="19"/>
        <v>-200</v>
      </c>
      <c r="BK58" s="53">
        <f t="shared" si="19"/>
        <v>10266.42</v>
      </c>
      <c r="BL58" s="53">
        <f t="shared" si="19"/>
        <v>-1500</v>
      </c>
      <c r="BM58" s="53">
        <f t="shared" si="19"/>
        <v>8766.42</v>
      </c>
      <c r="BN58" s="53">
        <f t="shared" si="19"/>
        <v>-1746</v>
      </c>
      <c r="BO58" s="53">
        <f t="shared" si="19"/>
        <v>-430</v>
      </c>
      <c r="BP58" s="53">
        <f t="shared" si="19"/>
        <v>6590.42</v>
      </c>
      <c r="BQ58" s="53">
        <f t="shared" si="19"/>
        <v>9308.6</v>
      </c>
      <c r="BR58" s="53">
        <f t="shared" si="19"/>
        <v>1746</v>
      </c>
      <c r="BS58" s="53">
        <f t="shared" si="19"/>
        <v>11054.6</v>
      </c>
      <c r="BT58" s="53">
        <f t="shared" si="19"/>
        <v>5231.92</v>
      </c>
      <c r="BU58" s="53">
        <f t="shared" si="19"/>
        <v>4147.384</v>
      </c>
      <c r="BV58" s="53">
        <f>+BV56+BV49</f>
        <v>3930.4768</v>
      </c>
    </row>
    <row r="59" spans="3:9" ht="12.75" hidden="1">
      <c r="C59" s="38"/>
      <c r="H59" s="10"/>
      <c r="I59" s="10"/>
    </row>
    <row r="60" spans="3:9" ht="12.75">
      <c r="C60" s="38"/>
      <c r="H60" s="10"/>
      <c r="I60" s="10"/>
    </row>
    <row r="61" spans="3:9" ht="12.75">
      <c r="C61" s="44" t="s">
        <v>115</v>
      </c>
      <c r="H61" s="10"/>
      <c r="I61" s="10"/>
    </row>
    <row r="62" spans="1:74" ht="12.75">
      <c r="A62" t="s">
        <v>116</v>
      </c>
      <c r="B62">
        <v>9966</v>
      </c>
      <c r="C62" s="38" t="s">
        <v>117</v>
      </c>
      <c r="F62" s="9">
        <v>100</v>
      </c>
      <c r="G62" s="9">
        <v>137</v>
      </c>
      <c r="H62" s="10">
        <f>SUM(F62:G62)</f>
        <v>237</v>
      </c>
      <c r="I62" s="10">
        <f>100+137</f>
        <v>237</v>
      </c>
      <c r="J62" s="9">
        <v>601</v>
      </c>
      <c r="K62" s="33">
        <f>22+1500</f>
        <v>1522</v>
      </c>
      <c r="L62" s="10">
        <f>SUM(J62:K62)</f>
        <v>2123</v>
      </c>
      <c r="M62" s="9">
        <f>L62-P62</f>
        <v>2123</v>
      </c>
      <c r="O62" s="9">
        <f>M62+N62</f>
        <v>2123</v>
      </c>
      <c r="P62" s="10"/>
      <c r="Q62" s="10"/>
      <c r="T62" s="9">
        <v>750</v>
      </c>
      <c r="U62" s="10">
        <f>T62+P62+Q62</f>
        <v>750</v>
      </c>
      <c r="V62" s="10">
        <v>630</v>
      </c>
      <c r="W62" s="9">
        <f>U62+V62</f>
        <v>1380</v>
      </c>
      <c r="AA62" s="9">
        <f>W62-Y62-Z62+X62</f>
        <v>1380</v>
      </c>
      <c r="AD62" s="9">
        <f>AA62+AB62+AC62</f>
        <v>1380</v>
      </c>
      <c r="AG62" s="9">
        <f>AD62-AE62-AF62</f>
        <v>1380</v>
      </c>
      <c r="AM62" s="9">
        <f>700-100</f>
        <v>600</v>
      </c>
      <c r="AN62" s="55">
        <v>66.976</v>
      </c>
      <c r="AO62" s="9">
        <f>AM62+AN62</f>
        <v>666.976</v>
      </c>
      <c r="AT62" s="10">
        <f aca="true" t="shared" si="20" ref="AT62:AT96">SUM(AO62:AS62)</f>
        <v>666.976</v>
      </c>
      <c r="AU62" s="10">
        <v>300</v>
      </c>
      <c r="AV62" s="10">
        <f>AT62-AU62</f>
        <v>366.976</v>
      </c>
      <c r="AW62" s="9">
        <f>700-340</f>
        <v>360</v>
      </c>
      <c r="AX62" s="10">
        <f>AW62+AU62</f>
        <v>660</v>
      </c>
      <c r="AY62" s="10">
        <v>13.5</v>
      </c>
      <c r="AZ62" s="10">
        <f aca="true" t="shared" si="21" ref="AZ62:AZ95">AX62+AY62</f>
        <v>673.5</v>
      </c>
      <c r="BA62" s="10">
        <v>536</v>
      </c>
      <c r="BB62" s="10">
        <v>-375</v>
      </c>
      <c r="BC62" s="10"/>
      <c r="BD62" s="10">
        <f aca="true" t="shared" si="22" ref="BD62:BD101">BA62+BB62+BC62</f>
        <v>161</v>
      </c>
      <c r="BE62" s="9">
        <f>700-300-200+375</f>
        <v>575</v>
      </c>
      <c r="BF62" s="9">
        <v>25</v>
      </c>
      <c r="BK62" s="9">
        <f>SUM(BE62:BJ62)</f>
        <v>600</v>
      </c>
      <c r="BM62" s="9">
        <f>SUM(BK62:BL62)</f>
        <v>600</v>
      </c>
      <c r="BN62" s="9">
        <v>-350</v>
      </c>
      <c r="BP62" s="9">
        <f>SUM(BM62:BO62)</f>
        <v>250</v>
      </c>
      <c r="BQ62" s="9">
        <f>750-200</f>
        <v>550</v>
      </c>
      <c r="BR62" s="9">
        <v>350</v>
      </c>
      <c r="BS62" s="9">
        <f>SUM(BQ62:BR62)</f>
        <v>900</v>
      </c>
      <c r="BT62" s="9">
        <v>150</v>
      </c>
      <c r="BU62" s="9">
        <v>150</v>
      </c>
      <c r="BV62" s="9">
        <v>300</v>
      </c>
    </row>
    <row r="63" spans="2:74" ht="12.75" hidden="1">
      <c r="B63">
        <v>9977</v>
      </c>
      <c r="C63" s="38" t="s">
        <v>118</v>
      </c>
      <c r="F63" s="9">
        <v>1121</v>
      </c>
      <c r="G63" s="9">
        <f>368-66</f>
        <v>302</v>
      </c>
      <c r="H63" s="10">
        <f>SUM(F63:G63)</f>
        <v>1423</v>
      </c>
      <c r="I63" s="10">
        <v>660</v>
      </c>
      <c r="J63" s="9">
        <v>100</v>
      </c>
      <c r="K63" s="33">
        <v>443</v>
      </c>
      <c r="L63" s="10">
        <f>SUM(J63:K63)</f>
        <v>543</v>
      </c>
      <c r="M63" s="9">
        <f>L63-P63</f>
        <v>543</v>
      </c>
      <c r="O63" s="9">
        <f>M63+N63</f>
        <v>543</v>
      </c>
      <c r="P63" s="10">
        <f>95-95</f>
        <v>0</v>
      </c>
      <c r="Q63" s="10"/>
      <c r="T63" s="10">
        <v>150</v>
      </c>
      <c r="U63" s="10">
        <f>T63+P63+Q63</f>
        <v>150</v>
      </c>
      <c r="V63" s="10">
        <v>46</v>
      </c>
      <c r="W63" s="9">
        <f>U63+V63</f>
        <v>196</v>
      </c>
      <c r="AA63" s="9">
        <f>W63-Y63-Z63+X63</f>
        <v>196</v>
      </c>
      <c r="AD63" s="9">
        <f>AA63+AB63+AC63</f>
        <v>196</v>
      </c>
      <c r="AG63" s="9">
        <f>AD63-AE63-AF63</f>
        <v>196</v>
      </c>
      <c r="AM63" s="10">
        <v>150</v>
      </c>
      <c r="AN63" s="55">
        <v>156.724</v>
      </c>
      <c r="AO63" s="10">
        <f>AM63+AN63</f>
        <v>306.724</v>
      </c>
      <c r="AS63" s="9">
        <v>-40</v>
      </c>
      <c r="AT63" s="10">
        <f t="shared" si="20"/>
        <v>266.724</v>
      </c>
      <c r="AU63" s="10">
        <v>100</v>
      </c>
      <c r="AV63" s="10">
        <f>AT63-AU63</f>
        <v>166.724</v>
      </c>
      <c r="AX63" s="10"/>
      <c r="AY63" s="10">
        <v>50.1</v>
      </c>
      <c r="AZ63" s="10">
        <f t="shared" si="21"/>
        <v>50.1</v>
      </c>
      <c r="BA63" s="10">
        <v>50</v>
      </c>
      <c r="BB63" s="10"/>
      <c r="BC63" s="10"/>
      <c r="BD63" s="10">
        <f t="shared" si="22"/>
        <v>50</v>
      </c>
      <c r="BK63" s="9">
        <f aca="true" t="shared" si="23" ref="BK63:BK101">SUM(BE63:BJ63)</f>
        <v>0</v>
      </c>
      <c r="BM63" s="9">
        <f aca="true" t="shared" si="24" ref="BM63:BM101">SUM(BK63:BL63)</f>
        <v>0</v>
      </c>
      <c r="BP63" s="9">
        <f aca="true" t="shared" si="25" ref="BP63:BP101">SUM(BM63:BO63)</f>
        <v>0</v>
      </c>
      <c r="BS63" s="9">
        <f aca="true" t="shared" si="26" ref="BS63:BS101">SUM(BQ63:BR63)</f>
        <v>0</v>
      </c>
      <c r="BU63" s="9"/>
      <c r="BV63" s="9"/>
    </row>
    <row r="64" spans="2:74" ht="12.75" hidden="1">
      <c r="B64">
        <v>9648</v>
      </c>
      <c r="C64" s="38" t="s">
        <v>119</v>
      </c>
      <c r="H64" s="10"/>
      <c r="I64" s="10"/>
      <c r="K64" s="33"/>
      <c r="L64" s="10"/>
      <c r="P64" s="10"/>
      <c r="Q64" s="10"/>
      <c r="T64" s="9">
        <v>250</v>
      </c>
      <c r="U64" s="9">
        <v>250</v>
      </c>
      <c r="V64" s="10"/>
      <c r="W64" s="9">
        <f>U64+V64</f>
        <v>250</v>
      </c>
      <c r="AA64" s="9">
        <f>W64-Y64-Z64+X64</f>
        <v>250</v>
      </c>
      <c r="AD64" s="9">
        <f>AA64+AB64+AC64</f>
        <v>250</v>
      </c>
      <c r="AG64" s="9">
        <f>AD64-AE64-AF64</f>
        <v>250</v>
      </c>
      <c r="AM64" s="10"/>
      <c r="AN64" s="55"/>
      <c r="AO64" s="9">
        <f>AM64+AN64</f>
        <v>0</v>
      </c>
      <c r="AT64" s="10">
        <f t="shared" si="20"/>
        <v>0</v>
      </c>
      <c r="AU64" s="10"/>
      <c r="AV64" s="10">
        <f>AT64-AU64</f>
        <v>0</v>
      </c>
      <c r="AW64" s="10"/>
      <c r="AX64" s="10">
        <f>AW64+AU64</f>
        <v>0</v>
      </c>
      <c r="AZ64" s="10">
        <f t="shared" si="21"/>
        <v>0</v>
      </c>
      <c r="BA64" s="10"/>
      <c r="BB64" s="10"/>
      <c r="BC64" s="10"/>
      <c r="BD64" s="10">
        <f t="shared" si="22"/>
        <v>0</v>
      </c>
      <c r="BE64" s="10"/>
      <c r="BF64" s="10"/>
      <c r="BG64" s="10"/>
      <c r="BH64" s="10"/>
      <c r="BI64" s="10"/>
      <c r="BK64" s="9">
        <f t="shared" si="23"/>
        <v>0</v>
      </c>
      <c r="BM64" s="9">
        <f t="shared" si="24"/>
        <v>0</v>
      </c>
      <c r="BP64" s="9">
        <f t="shared" si="25"/>
        <v>0</v>
      </c>
      <c r="BQ64" s="10"/>
      <c r="BR64" s="10"/>
      <c r="BS64" s="9">
        <f t="shared" si="26"/>
        <v>0</v>
      </c>
      <c r="BT64" s="9"/>
      <c r="BU64" s="9"/>
      <c r="BV64" s="9"/>
    </row>
    <row r="65" spans="2:74" ht="12.75" hidden="1">
      <c r="B65">
        <v>9995</v>
      </c>
      <c r="C65" s="38" t="s">
        <v>120</v>
      </c>
      <c r="G65" s="9">
        <v>145</v>
      </c>
      <c r="H65" s="10">
        <f>SUM(F65:G65)</f>
        <v>145</v>
      </c>
      <c r="I65" s="10">
        <f>145</f>
        <v>145</v>
      </c>
      <c r="K65" s="33">
        <v>17</v>
      </c>
      <c r="L65" s="10">
        <f>SUM(J65:K65)</f>
        <v>17</v>
      </c>
      <c r="M65" s="9">
        <f>L65-P65</f>
        <v>17</v>
      </c>
      <c r="O65" s="9">
        <f>M65+N65</f>
        <v>17</v>
      </c>
      <c r="P65" s="10"/>
      <c r="Q65" s="10"/>
      <c r="V65" s="10">
        <v>18</v>
      </c>
      <c r="W65" s="9">
        <f>U65+V65</f>
        <v>18</v>
      </c>
      <c r="AA65" s="9">
        <f>W65-Y65-Z65+X65</f>
        <v>18</v>
      </c>
      <c r="AB65" s="9">
        <v>60</v>
      </c>
      <c r="AD65" s="9">
        <f>AA65+AB65+AC65</f>
        <v>78</v>
      </c>
      <c r="AG65" s="9">
        <f>AD65-AE65-AF65</f>
        <v>78</v>
      </c>
      <c r="AO65" s="9">
        <f>AM65+AN65</f>
        <v>0</v>
      </c>
      <c r="AT65" s="10">
        <f t="shared" si="20"/>
        <v>0</v>
      </c>
      <c r="AU65" s="10"/>
      <c r="AV65" s="10">
        <f>AT65-AU65</f>
        <v>0</v>
      </c>
      <c r="AX65" s="10">
        <f>AW65+AU65</f>
        <v>0</v>
      </c>
      <c r="AZ65" s="10">
        <f t="shared" si="21"/>
        <v>0</v>
      </c>
      <c r="BA65" s="10"/>
      <c r="BB65" s="10"/>
      <c r="BC65" s="10"/>
      <c r="BD65" s="10">
        <f t="shared" si="22"/>
        <v>0</v>
      </c>
      <c r="BK65" s="9">
        <f t="shared" si="23"/>
        <v>0</v>
      </c>
      <c r="BM65" s="9">
        <f t="shared" si="24"/>
        <v>0</v>
      </c>
      <c r="BP65" s="9">
        <f t="shared" si="25"/>
        <v>0</v>
      </c>
      <c r="BS65" s="9">
        <f t="shared" si="26"/>
        <v>0</v>
      </c>
      <c r="BT65" s="9"/>
      <c r="BU65" s="9"/>
      <c r="BV65" s="9"/>
    </row>
    <row r="66" spans="3:74" ht="12.75">
      <c r="C66" s="38" t="s">
        <v>121</v>
      </c>
      <c r="H66" s="10"/>
      <c r="I66" s="10"/>
      <c r="K66" s="33"/>
      <c r="L66" s="10"/>
      <c r="P66" s="10"/>
      <c r="Q66" s="10"/>
      <c r="V66" s="10"/>
      <c r="AS66" s="9">
        <v>40</v>
      </c>
      <c r="AT66" s="10">
        <f t="shared" si="20"/>
        <v>40</v>
      </c>
      <c r="AU66" s="10"/>
      <c r="AV66" s="10">
        <f>AT66-AU66</f>
        <v>40</v>
      </c>
      <c r="AW66" s="10">
        <v>40</v>
      </c>
      <c r="AX66" s="10">
        <f>AW66+AU63</f>
        <v>140</v>
      </c>
      <c r="AZ66" s="10">
        <f t="shared" si="21"/>
        <v>140</v>
      </c>
      <c r="BA66" s="10">
        <v>366</v>
      </c>
      <c r="BB66" s="10">
        <v>-150</v>
      </c>
      <c r="BC66" s="10"/>
      <c r="BD66" s="10">
        <f t="shared" si="22"/>
        <v>216</v>
      </c>
      <c r="BE66" s="10">
        <f>40+154+150</f>
        <v>344</v>
      </c>
      <c r="BF66" s="10"/>
      <c r="BG66" s="10"/>
      <c r="BH66" s="10">
        <f>-72-125</f>
        <v>-197</v>
      </c>
      <c r="BI66" s="10"/>
      <c r="BK66" s="9">
        <f t="shared" si="23"/>
        <v>147</v>
      </c>
      <c r="BM66" s="9">
        <f t="shared" si="24"/>
        <v>147</v>
      </c>
      <c r="BP66" s="9">
        <f t="shared" si="25"/>
        <v>147</v>
      </c>
      <c r="BQ66" s="10">
        <v>40</v>
      </c>
      <c r="BR66" s="10"/>
      <c r="BS66" s="9">
        <f t="shared" si="26"/>
        <v>40</v>
      </c>
      <c r="BT66" s="10">
        <v>40</v>
      </c>
      <c r="BU66" s="9">
        <v>45</v>
      </c>
      <c r="BV66" s="9">
        <v>45</v>
      </c>
    </row>
    <row r="67" spans="2:74" ht="12.75">
      <c r="B67">
        <v>9974</v>
      </c>
      <c r="C67" s="38" t="s">
        <v>122</v>
      </c>
      <c r="F67" s="9">
        <v>1881</v>
      </c>
      <c r="H67" s="10">
        <f aca="true" t="shared" si="27" ref="H67:H81">SUM(F67:G67)</f>
        <v>1881</v>
      </c>
      <c r="I67" s="10">
        <v>1881</v>
      </c>
      <c r="J67" s="9">
        <v>202</v>
      </c>
      <c r="K67" s="33">
        <v>12</v>
      </c>
      <c r="L67" s="10">
        <f aca="true" t="shared" si="28" ref="L67:L83">SUM(J67:K67)</f>
        <v>214</v>
      </c>
      <c r="M67" s="9">
        <f aca="true" t="shared" si="29" ref="M67:M83">L67-P67</f>
        <v>214</v>
      </c>
      <c r="O67" s="9">
        <f>M67+N67</f>
        <v>214</v>
      </c>
      <c r="P67" s="10"/>
      <c r="Q67" s="10"/>
      <c r="V67" s="10"/>
      <c r="AA67" s="9">
        <f aca="true" t="shared" si="30" ref="AA67:AA93">W67-Y67-Z67+X67</f>
        <v>0</v>
      </c>
      <c r="AD67" s="9">
        <f aca="true" t="shared" si="31" ref="AD67:AD93">AA67+AB67+AC67</f>
        <v>0</v>
      </c>
      <c r="AG67" s="9">
        <f aca="true" t="shared" si="32" ref="AG67:AG93">AD67-AE67-AF67</f>
        <v>0</v>
      </c>
      <c r="AT67" s="10">
        <f t="shared" si="20"/>
        <v>0</v>
      </c>
      <c r="AU67" s="10"/>
      <c r="AX67" s="10"/>
      <c r="AZ67" s="10">
        <f t="shared" si="21"/>
        <v>0</v>
      </c>
      <c r="BA67" s="10"/>
      <c r="BB67" s="10"/>
      <c r="BC67" s="10"/>
      <c r="BD67" s="10">
        <f t="shared" si="22"/>
        <v>0</v>
      </c>
      <c r="BE67" s="9">
        <f>1000-900</f>
        <v>100</v>
      </c>
      <c r="BK67" s="9">
        <f t="shared" si="23"/>
        <v>100</v>
      </c>
      <c r="BM67" s="9">
        <f t="shared" si="24"/>
        <v>100</v>
      </c>
      <c r="BN67" s="9">
        <v>-100</v>
      </c>
      <c r="BP67" s="9">
        <f t="shared" si="25"/>
        <v>0</v>
      </c>
      <c r="BR67" s="9">
        <v>100</v>
      </c>
      <c r="BS67" s="9">
        <f t="shared" si="26"/>
        <v>100</v>
      </c>
      <c r="BT67" s="9"/>
      <c r="BU67" s="9">
        <v>100</v>
      </c>
      <c r="BV67" s="9"/>
    </row>
    <row r="68" spans="2:74" ht="12.75">
      <c r="B68">
        <v>9915</v>
      </c>
      <c r="C68" s="38" t="s">
        <v>123</v>
      </c>
      <c r="F68" s="9">
        <v>319</v>
      </c>
      <c r="G68" s="9">
        <v>13</v>
      </c>
      <c r="H68" s="10">
        <f t="shared" si="27"/>
        <v>332</v>
      </c>
      <c r="I68" s="10">
        <f>(54+250*1.03*1.03)+13</f>
        <v>332.225</v>
      </c>
      <c r="J68" s="9">
        <v>273</v>
      </c>
      <c r="K68" s="33"/>
      <c r="L68" s="10">
        <f t="shared" si="28"/>
        <v>273</v>
      </c>
      <c r="M68" s="9">
        <f t="shared" si="29"/>
        <v>273</v>
      </c>
      <c r="N68" s="9">
        <v>-50</v>
      </c>
      <c r="O68" s="9">
        <f>M68+N68</f>
        <v>223</v>
      </c>
      <c r="P68" s="10"/>
      <c r="Q68" s="10"/>
      <c r="T68" s="9">
        <v>350</v>
      </c>
      <c r="U68" s="10">
        <f>T68+P68+Q68</f>
        <v>350</v>
      </c>
      <c r="V68" s="10">
        <v>21.5</v>
      </c>
      <c r="W68" s="10">
        <f>U68+V68</f>
        <v>371.5</v>
      </c>
      <c r="AA68" s="10">
        <f t="shared" si="30"/>
        <v>371.5</v>
      </c>
      <c r="AB68" s="10"/>
      <c r="AC68" s="10"/>
      <c r="AD68" s="10">
        <f t="shared" si="31"/>
        <v>371.5</v>
      </c>
      <c r="AE68" s="10">
        <v>50</v>
      </c>
      <c r="AF68" s="10"/>
      <c r="AG68" s="10">
        <f t="shared" si="32"/>
        <v>321.5</v>
      </c>
      <c r="AH68" s="10"/>
      <c r="AI68" s="10"/>
      <c r="AJ68" s="10"/>
      <c r="AK68" s="10"/>
      <c r="AL68" s="10"/>
      <c r="AM68" s="10">
        <f>375+AE68</f>
        <v>425</v>
      </c>
      <c r="AO68" s="9">
        <f aca="true" t="shared" si="33" ref="AO68:AO85">AM68+AN68</f>
        <v>425</v>
      </c>
      <c r="AT68" s="10">
        <f t="shared" si="20"/>
        <v>425</v>
      </c>
      <c r="AU68" s="10"/>
      <c r="AV68" s="10">
        <f aca="true" t="shared" si="34" ref="AV68:AV85">AT68-AU68</f>
        <v>425</v>
      </c>
      <c r="AW68" s="9">
        <v>400</v>
      </c>
      <c r="AX68" s="10">
        <f>AW68+AU68-200</f>
        <v>200</v>
      </c>
      <c r="AY68" s="10">
        <v>9</v>
      </c>
      <c r="AZ68" s="10">
        <f t="shared" si="21"/>
        <v>209</v>
      </c>
      <c r="BA68" s="10">
        <v>209</v>
      </c>
      <c r="BB68" s="10"/>
      <c r="BC68" s="10"/>
      <c r="BD68" s="10">
        <f t="shared" si="22"/>
        <v>209</v>
      </c>
      <c r="BE68" s="9">
        <f>425-325</f>
        <v>100</v>
      </c>
      <c r="BK68" s="9">
        <f t="shared" si="23"/>
        <v>100</v>
      </c>
      <c r="BM68" s="9">
        <f t="shared" si="24"/>
        <v>100</v>
      </c>
      <c r="BP68" s="9">
        <f t="shared" si="25"/>
        <v>100</v>
      </c>
      <c r="BQ68" s="9">
        <f>450-25-325</f>
        <v>100</v>
      </c>
      <c r="BS68" s="9">
        <f t="shared" si="26"/>
        <v>100</v>
      </c>
      <c r="BT68" s="9">
        <f>450-350</f>
        <v>100</v>
      </c>
      <c r="BU68" s="9">
        <v>125</v>
      </c>
      <c r="BV68" s="9">
        <v>125</v>
      </c>
    </row>
    <row r="69" spans="2:74" ht="12.75" hidden="1">
      <c r="B69">
        <v>9618</v>
      </c>
      <c r="C69" s="38" t="s">
        <v>124</v>
      </c>
      <c r="F69" s="9">
        <v>126</v>
      </c>
      <c r="H69" s="10">
        <f t="shared" si="27"/>
        <v>126</v>
      </c>
      <c r="I69" s="10">
        <v>126</v>
      </c>
      <c r="K69" s="33">
        <v>1</v>
      </c>
      <c r="L69" s="10">
        <f t="shared" si="28"/>
        <v>1</v>
      </c>
      <c r="M69" s="9">
        <f t="shared" si="29"/>
        <v>1</v>
      </c>
      <c r="O69" s="9">
        <f>M69+N69</f>
        <v>1</v>
      </c>
      <c r="P69" s="10"/>
      <c r="Q69" s="10"/>
      <c r="V69" s="10"/>
      <c r="AA69" s="9">
        <f t="shared" si="30"/>
        <v>0</v>
      </c>
      <c r="AD69" s="9">
        <f t="shared" si="31"/>
        <v>0</v>
      </c>
      <c r="AG69" s="9">
        <f t="shared" si="32"/>
        <v>0</v>
      </c>
      <c r="AN69" s="55"/>
      <c r="AO69" s="9">
        <f t="shared" si="33"/>
        <v>0</v>
      </c>
      <c r="AT69" s="10">
        <f t="shared" si="20"/>
        <v>0</v>
      </c>
      <c r="AU69" s="10"/>
      <c r="AV69" s="10">
        <f t="shared" si="34"/>
        <v>0</v>
      </c>
      <c r="AX69" s="10">
        <f>AW69+AU69</f>
        <v>0</v>
      </c>
      <c r="AZ69" s="10">
        <f t="shared" si="21"/>
        <v>0</v>
      </c>
      <c r="BA69" s="10"/>
      <c r="BB69" s="10"/>
      <c r="BC69" s="10"/>
      <c r="BD69" s="10">
        <f t="shared" si="22"/>
        <v>0</v>
      </c>
      <c r="BK69" s="9">
        <f t="shared" si="23"/>
        <v>0</v>
      </c>
      <c r="BM69" s="9">
        <f t="shared" si="24"/>
        <v>0</v>
      </c>
      <c r="BP69" s="9">
        <f t="shared" si="25"/>
        <v>0</v>
      </c>
      <c r="BS69" s="9">
        <f t="shared" si="26"/>
        <v>0</v>
      </c>
      <c r="BT69" s="9"/>
      <c r="BU69" s="9"/>
      <c r="BV69" s="9"/>
    </row>
    <row r="70" spans="3:74" ht="12.75" hidden="1">
      <c r="C70" s="38" t="s">
        <v>125</v>
      </c>
      <c r="F70" s="9">
        <v>33</v>
      </c>
      <c r="G70" s="9">
        <v>28</v>
      </c>
      <c r="H70" s="10">
        <f t="shared" si="27"/>
        <v>61</v>
      </c>
      <c r="I70" s="10">
        <f>33+28</f>
        <v>61</v>
      </c>
      <c r="K70" s="33"/>
      <c r="L70" s="10">
        <f t="shared" si="28"/>
        <v>0</v>
      </c>
      <c r="M70" s="9">
        <f t="shared" si="29"/>
        <v>0</v>
      </c>
      <c r="O70" s="9">
        <f>N70-T70</f>
        <v>0</v>
      </c>
      <c r="P70" s="10"/>
      <c r="Q70" s="10"/>
      <c r="V70" s="10"/>
      <c r="AA70" s="9">
        <f t="shared" si="30"/>
        <v>0</v>
      </c>
      <c r="AD70" s="9">
        <f t="shared" si="31"/>
        <v>0</v>
      </c>
      <c r="AG70" s="9">
        <f t="shared" si="32"/>
        <v>0</v>
      </c>
      <c r="AN70" s="55"/>
      <c r="AO70" s="9">
        <f t="shared" si="33"/>
        <v>0</v>
      </c>
      <c r="AT70" s="10">
        <f t="shared" si="20"/>
        <v>0</v>
      </c>
      <c r="AU70" s="10"/>
      <c r="AV70" s="10">
        <f t="shared" si="34"/>
        <v>0</v>
      </c>
      <c r="AX70" s="10">
        <f>AW70+AU70</f>
        <v>0</v>
      </c>
      <c r="AZ70" s="10">
        <f t="shared" si="21"/>
        <v>0</v>
      </c>
      <c r="BA70" s="10"/>
      <c r="BB70" s="10"/>
      <c r="BC70" s="10"/>
      <c r="BD70" s="10">
        <f t="shared" si="22"/>
        <v>0</v>
      </c>
      <c r="BK70" s="9">
        <f t="shared" si="23"/>
        <v>0</v>
      </c>
      <c r="BM70" s="9">
        <f t="shared" si="24"/>
        <v>0</v>
      </c>
      <c r="BP70" s="9">
        <f t="shared" si="25"/>
        <v>0</v>
      </c>
      <c r="BS70" s="9">
        <f t="shared" si="26"/>
        <v>0</v>
      </c>
      <c r="BT70" s="9"/>
      <c r="BU70" s="9"/>
      <c r="BV70" s="9"/>
    </row>
    <row r="71" spans="2:74" ht="12.75">
      <c r="B71">
        <v>9939</v>
      </c>
      <c r="C71" s="38" t="s">
        <v>126</v>
      </c>
      <c r="F71" s="9">
        <v>773</v>
      </c>
      <c r="G71" s="9">
        <f>89-14</f>
        <v>75</v>
      </c>
      <c r="H71" s="10">
        <f t="shared" si="27"/>
        <v>848</v>
      </c>
      <c r="I71" s="10">
        <v>327</v>
      </c>
      <c r="J71" s="9">
        <v>700</v>
      </c>
      <c r="K71" s="33">
        <f>27-323</f>
        <v>-296</v>
      </c>
      <c r="L71" s="10">
        <f t="shared" si="28"/>
        <v>404</v>
      </c>
      <c r="M71" s="9">
        <f t="shared" si="29"/>
        <v>404</v>
      </c>
      <c r="N71" s="10">
        <v>50</v>
      </c>
      <c r="O71" s="9">
        <f aca="true" t="shared" si="35" ref="O71:O79">M71+N71</f>
        <v>454</v>
      </c>
      <c r="P71" s="10"/>
      <c r="Q71" s="10"/>
      <c r="T71" s="9">
        <v>500</v>
      </c>
      <c r="U71" s="10">
        <f aca="true" t="shared" si="36" ref="U71:U76">T71+P71+Q71</f>
        <v>500</v>
      </c>
      <c r="V71" s="10"/>
      <c r="W71" s="9">
        <f>U71+V71</f>
        <v>500</v>
      </c>
      <c r="AA71" s="9">
        <f t="shared" si="30"/>
        <v>500</v>
      </c>
      <c r="AD71" s="10">
        <f t="shared" si="31"/>
        <v>500</v>
      </c>
      <c r="AE71" s="10"/>
      <c r="AF71" s="10"/>
      <c r="AG71" s="10">
        <f t="shared" si="32"/>
        <v>500</v>
      </c>
      <c r="AH71" s="10"/>
      <c r="AI71" s="10"/>
      <c r="AJ71" s="10"/>
      <c r="AK71" s="10"/>
      <c r="AL71" s="10"/>
      <c r="AM71" s="9">
        <f>500-200</f>
        <v>300</v>
      </c>
      <c r="AN71" s="55"/>
      <c r="AO71" s="9">
        <f t="shared" si="33"/>
        <v>300</v>
      </c>
      <c r="AT71" s="10">
        <f t="shared" si="20"/>
        <v>300</v>
      </c>
      <c r="AU71" s="10">
        <v>100</v>
      </c>
      <c r="AV71" s="10">
        <f t="shared" si="34"/>
        <v>200</v>
      </c>
      <c r="AW71" s="9">
        <f>500-200</f>
        <v>300</v>
      </c>
      <c r="AX71" s="10">
        <f>AW71+AU71-200</f>
        <v>200</v>
      </c>
      <c r="AY71" s="10">
        <v>12</v>
      </c>
      <c r="AZ71" s="10">
        <f t="shared" si="21"/>
        <v>212</v>
      </c>
      <c r="BA71" s="10">
        <v>262</v>
      </c>
      <c r="BB71" s="10"/>
      <c r="BC71" s="10"/>
      <c r="BD71" s="10">
        <f t="shared" si="22"/>
        <v>262</v>
      </c>
      <c r="BE71" s="9">
        <f>500-200-200</f>
        <v>100</v>
      </c>
      <c r="BI71" s="9">
        <v>90</v>
      </c>
      <c r="BK71" s="9">
        <f t="shared" si="23"/>
        <v>190</v>
      </c>
      <c r="BL71" s="9">
        <v>-25</v>
      </c>
      <c r="BM71" s="9">
        <f t="shared" si="24"/>
        <v>165</v>
      </c>
      <c r="BN71" s="9">
        <v>-25</v>
      </c>
      <c r="BP71" s="9">
        <f t="shared" si="25"/>
        <v>140</v>
      </c>
      <c r="BQ71" s="9">
        <f>500-200-200+25</f>
        <v>125</v>
      </c>
      <c r="BR71" s="9">
        <v>25</v>
      </c>
      <c r="BS71" s="9">
        <f t="shared" si="26"/>
        <v>150</v>
      </c>
      <c r="BT71" s="9">
        <f>300-200</f>
        <v>100</v>
      </c>
      <c r="BU71" s="9">
        <v>125</v>
      </c>
      <c r="BV71" s="9">
        <v>125</v>
      </c>
    </row>
    <row r="72" spans="2:74" ht="12.75">
      <c r="B72">
        <v>9956</v>
      </c>
      <c r="C72" s="38" t="s">
        <v>127</v>
      </c>
      <c r="F72" s="9">
        <v>602</v>
      </c>
      <c r="G72" s="9">
        <v>141</v>
      </c>
      <c r="H72" s="10">
        <f t="shared" si="27"/>
        <v>743</v>
      </c>
      <c r="I72" s="10">
        <f>(500*1.03*1.03)+72+141</f>
        <v>743.45</v>
      </c>
      <c r="J72" s="9">
        <f>710</f>
        <v>710</v>
      </c>
      <c r="K72" s="33">
        <f>266+50</f>
        <v>316</v>
      </c>
      <c r="L72" s="10">
        <f t="shared" si="28"/>
        <v>1026</v>
      </c>
      <c r="M72" s="9">
        <f t="shared" si="29"/>
        <v>1026</v>
      </c>
      <c r="O72" s="9">
        <f t="shared" si="35"/>
        <v>1026</v>
      </c>
      <c r="P72" s="10"/>
      <c r="Q72" s="10"/>
      <c r="T72" s="9">
        <v>1000</v>
      </c>
      <c r="U72" s="10">
        <f t="shared" si="36"/>
        <v>1000</v>
      </c>
      <c r="V72" s="10">
        <v>80</v>
      </c>
      <c r="W72" s="9">
        <f>U72+V72</f>
        <v>1080</v>
      </c>
      <c r="AA72" s="9">
        <f t="shared" si="30"/>
        <v>1080</v>
      </c>
      <c r="AD72" s="10">
        <f t="shared" si="31"/>
        <v>1080</v>
      </c>
      <c r="AE72" s="10"/>
      <c r="AF72" s="10"/>
      <c r="AG72" s="10">
        <f t="shared" si="32"/>
        <v>1080</v>
      </c>
      <c r="AH72" s="10"/>
      <c r="AI72" s="10"/>
      <c r="AJ72" s="10"/>
      <c r="AK72" s="10"/>
      <c r="AL72" s="10"/>
      <c r="AM72" s="9">
        <f>750-100</f>
        <v>650</v>
      </c>
      <c r="AN72" s="55">
        <v>18</v>
      </c>
      <c r="AO72" s="9">
        <f t="shared" si="33"/>
        <v>668</v>
      </c>
      <c r="AT72" s="10">
        <f t="shared" si="20"/>
        <v>668</v>
      </c>
      <c r="AU72" s="10">
        <v>213</v>
      </c>
      <c r="AV72" s="10">
        <f t="shared" si="34"/>
        <v>455</v>
      </c>
      <c r="AW72" s="9">
        <f>800-100</f>
        <v>700</v>
      </c>
      <c r="AX72" s="10">
        <f aca="true" t="shared" si="37" ref="AX72:AX78">AW72+AU72</f>
        <v>913</v>
      </c>
      <c r="AY72" s="10">
        <v>51.184</v>
      </c>
      <c r="AZ72" s="10">
        <f t="shared" si="21"/>
        <v>964.184</v>
      </c>
      <c r="BA72" s="10">
        <v>964</v>
      </c>
      <c r="BB72" s="10"/>
      <c r="BC72" s="10"/>
      <c r="BD72" s="10">
        <f t="shared" si="22"/>
        <v>964</v>
      </c>
      <c r="BE72" s="9">
        <f>850-100</f>
        <v>750</v>
      </c>
      <c r="BH72" s="9">
        <v>125</v>
      </c>
      <c r="BK72" s="9">
        <f t="shared" si="23"/>
        <v>875</v>
      </c>
      <c r="BM72" s="9">
        <f t="shared" si="24"/>
        <v>875</v>
      </c>
      <c r="BN72" s="9">
        <v>-75</v>
      </c>
      <c r="BP72" s="9">
        <f t="shared" si="25"/>
        <v>800</v>
      </c>
      <c r="BQ72" s="9">
        <f>900-50-50</f>
        <v>800</v>
      </c>
      <c r="BR72" s="9">
        <v>75</v>
      </c>
      <c r="BS72" s="9">
        <f t="shared" si="26"/>
        <v>875</v>
      </c>
      <c r="BT72" s="9">
        <v>850</v>
      </c>
      <c r="BU72" s="9">
        <v>900</v>
      </c>
      <c r="BV72" s="9">
        <v>900</v>
      </c>
    </row>
    <row r="73" spans="2:74" ht="12.75">
      <c r="B73">
        <v>9989</v>
      </c>
      <c r="C73" s="38" t="s">
        <v>128</v>
      </c>
      <c r="F73" s="9">
        <v>212</v>
      </c>
      <c r="H73" s="10">
        <f t="shared" si="27"/>
        <v>212</v>
      </c>
      <c r="I73" s="10">
        <f>200*1.03*1.03</f>
        <v>212.18</v>
      </c>
      <c r="J73" s="9">
        <f>219</f>
        <v>219</v>
      </c>
      <c r="K73" s="33"/>
      <c r="L73" s="10">
        <f t="shared" si="28"/>
        <v>219</v>
      </c>
      <c r="M73" s="9">
        <f t="shared" si="29"/>
        <v>219</v>
      </c>
      <c r="N73" s="9">
        <v>25</v>
      </c>
      <c r="O73" s="9">
        <f t="shared" si="35"/>
        <v>244</v>
      </c>
      <c r="P73" s="10"/>
      <c r="Q73" s="10"/>
      <c r="T73" s="9">
        <v>100</v>
      </c>
      <c r="U73" s="10">
        <f t="shared" si="36"/>
        <v>100</v>
      </c>
      <c r="V73" s="10">
        <v>35.5</v>
      </c>
      <c r="W73" s="10">
        <f>U73+V73</f>
        <v>135.5</v>
      </c>
      <c r="X73" s="10"/>
      <c r="Y73" s="10"/>
      <c r="Z73" s="10"/>
      <c r="AA73" s="10">
        <f t="shared" si="30"/>
        <v>135.5</v>
      </c>
      <c r="AB73" s="10">
        <v>50</v>
      </c>
      <c r="AC73" s="10"/>
      <c r="AD73" s="10">
        <f t="shared" si="31"/>
        <v>185.5</v>
      </c>
      <c r="AE73" s="10"/>
      <c r="AF73" s="10"/>
      <c r="AG73" s="10">
        <f t="shared" si="32"/>
        <v>185.5</v>
      </c>
      <c r="AH73" s="10">
        <v>55</v>
      </c>
      <c r="AI73" s="10"/>
      <c r="AJ73" s="10"/>
      <c r="AK73" s="10"/>
      <c r="AL73" s="10"/>
      <c r="AM73" s="9">
        <f>100+300</f>
        <v>400</v>
      </c>
      <c r="AN73" s="55">
        <v>8</v>
      </c>
      <c r="AO73" s="9">
        <f t="shared" si="33"/>
        <v>408</v>
      </c>
      <c r="AT73" s="10">
        <f t="shared" si="20"/>
        <v>408</v>
      </c>
      <c r="AU73" s="10">
        <v>74</v>
      </c>
      <c r="AV73" s="10">
        <f t="shared" si="34"/>
        <v>334</v>
      </c>
      <c r="AW73" s="9">
        <v>100</v>
      </c>
      <c r="AX73" s="10">
        <f t="shared" si="37"/>
        <v>174</v>
      </c>
      <c r="AZ73" s="10">
        <f t="shared" si="21"/>
        <v>174</v>
      </c>
      <c r="BA73" s="10">
        <v>174</v>
      </c>
      <c r="BB73" s="10"/>
      <c r="BC73" s="10"/>
      <c r="BD73" s="10">
        <f t="shared" si="22"/>
        <v>174</v>
      </c>
      <c r="BE73" s="9">
        <v>100</v>
      </c>
      <c r="BF73" s="9">
        <v>52</v>
      </c>
      <c r="BK73" s="9">
        <f t="shared" si="23"/>
        <v>152</v>
      </c>
      <c r="BM73" s="9">
        <f t="shared" si="24"/>
        <v>152</v>
      </c>
      <c r="BP73" s="9">
        <f t="shared" si="25"/>
        <v>152</v>
      </c>
      <c r="BQ73" s="9">
        <v>100</v>
      </c>
      <c r="BS73" s="9">
        <f t="shared" si="26"/>
        <v>100</v>
      </c>
      <c r="BT73" s="9">
        <v>100</v>
      </c>
      <c r="BU73" s="9">
        <v>100</v>
      </c>
      <c r="BV73" s="9">
        <v>100</v>
      </c>
    </row>
    <row r="74" spans="2:74" ht="12.75">
      <c r="B74">
        <v>9616</v>
      </c>
      <c r="C74" s="38" t="s">
        <v>129</v>
      </c>
      <c r="F74" s="9">
        <v>159</v>
      </c>
      <c r="H74" s="10">
        <f t="shared" si="27"/>
        <v>159</v>
      </c>
      <c r="I74" s="10">
        <f>150*1.03*1.03</f>
        <v>159.135</v>
      </c>
      <c r="J74" s="9">
        <f>164</f>
        <v>164</v>
      </c>
      <c r="K74" s="33">
        <f>19-50</f>
        <v>-31</v>
      </c>
      <c r="L74" s="10">
        <f t="shared" si="28"/>
        <v>133</v>
      </c>
      <c r="M74" s="9">
        <f t="shared" si="29"/>
        <v>133</v>
      </c>
      <c r="N74" s="9">
        <v>-25</v>
      </c>
      <c r="O74" s="9">
        <f t="shared" si="35"/>
        <v>108</v>
      </c>
      <c r="P74" s="10"/>
      <c r="Q74" s="10"/>
      <c r="T74" s="9">
        <v>50</v>
      </c>
      <c r="U74" s="10">
        <f t="shared" si="36"/>
        <v>50</v>
      </c>
      <c r="V74" s="10"/>
      <c r="W74" s="9">
        <f>U74+V74</f>
        <v>50</v>
      </c>
      <c r="AA74" s="9">
        <f t="shared" si="30"/>
        <v>50</v>
      </c>
      <c r="AD74" s="10">
        <f t="shared" si="31"/>
        <v>50</v>
      </c>
      <c r="AE74" s="10"/>
      <c r="AF74" s="10"/>
      <c r="AG74" s="10">
        <f t="shared" si="32"/>
        <v>50</v>
      </c>
      <c r="AH74" s="10"/>
      <c r="AI74" s="10"/>
      <c r="AJ74" s="10"/>
      <c r="AK74" s="10"/>
      <c r="AL74" s="10"/>
      <c r="AM74" s="9">
        <v>50</v>
      </c>
      <c r="AN74" s="55"/>
      <c r="AO74" s="9">
        <f t="shared" si="33"/>
        <v>50</v>
      </c>
      <c r="AT74" s="10">
        <f t="shared" si="20"/>
        <v>50</v>
      </c>
      <c r="AU74" s="10"/>
      <c r="AV74" s="10">
        <f t="shared" si="34"/>
        <v>50</v>
      </c>
      <c r="AW74" s="9">
        <v>50</v>
      </c>
      <c r="AX74" s="10">
        <f t="shared" si="37"/>
        <v>50</v>
      </c>
      <c r="AZ74" s="10">
        <f t="shared" si="21"/>
        <v>50</v>
      </c>
      <c r="BA74" s="10"/>
      <c r="BB74" s="10"/>
      <c r="BC74" s="10"/>
      <c r="BD74" s="10">
        <f t="shared" si="22"/>
        <v>0</v>
      </c>
      <c r="BE74" s="9">
        <v>50</v>
      </c>
      <c r="BK74" s="9">
        <f t="shared" si="23"/>
        <v>50</v>
      </c>
      <c r="BM74" s="9">
        <f t="shared" si="24"/>
        <v>50</v>
      </c>
      <c r="BP74" s="9">
        <f t="shared" si="25"/>
        <v>50</v>
      </c>
      <c r="BQ74" s="9">
        <v>55</v>
      </c>
      <c r="BS74" s="9">
        <f t="shared" si="26"/>
        <v>55</v>
      </c>
      <c r="BT74" s="9">
        <v>55</v>
      </c>
      <c r="BU74" s="9">
        <v>55</v>
      </c>
      <c r="BV74" s="9">
        <v>55</v>
      </c>
    </row>
    <row r="75" spans="2:74" ht="12.75" hidden="1">
      <c r="B75">
        <v>9617</v>
      </c>
      <c r="C75" s="38" t="s">
        <v>130</v>
      </c>
      <c r="F75" s="9">
        <v>53</v>
      </c>
      <c r="G75" s="9">
        <v>34</v>
      </c>
      <c r="H75" s="10">
        <f t="shared" si="27"/>
        <v>87</v>
      </c>
      <c r="I75" s="10">
        <f>(50*1.03*1.03)+34</f>
        <v>87.045</v>
      </c>
      <c r="J75" s="9">
        <f>60</f>
        <v>60</v>
      </c>
      <c r="K75" s="33">
        <v>49</v>
      </c>
      <c r="L75" s="10">
        <f t="shared" si="28"/>
        <v>109</v>
      </c>
      <c r="M75" s="9">
        <f t="shared" si="29"/>
        <v>109</v>
      </c>
      <c r="O75" s="9">
        <f t="shared" si="35"/>
        <v>109</v>
      </c>
      <c r="P75" s="10"/>
      <c r="Q75" s="10"/>
      <c r="U75" s="10">
        <f t="shared" si="36"/>
        <v>0</v>
      </c>
      <c r="V75" s="10"/>
      <c r="W75" s="10"/>
      <c r="X75" s="10"/>
      <c r="Y75" s="10"/>
      <c r="Z75" s="10"/>
      <c r="AA75" s="9">
        <f t="shared" si="30"/>
        <v>0</v>
      </c>
      <c r="AD75" s="10">
        <f t="shared" si="31"/>
        <v>0</v>
      </c>
      <c r="AE75" s="10"/>
      <c r="AF75" s="10"/>
      <c r="AG75" s="10">
        <f t="shared" si="32"/>
        <v>0</v>
      </c>
      <c r="AH75" s="10"/>
      <c r="AI75" s="10"/>
      <c r="AJ75" s="10"/>
      <c r="AK75" s="10"/>
      <c r="AL75" s="10"/>
      <c r="AN75" s="55"/>
      <c r="AO75" s="9">
        <f t="shared" si="33"/>
        <v>0</v>
      </c>
      <c r="AT75" s="10">
        <f t="shared" si="20"/>
        <v>0</v>
      </c>
      <c r="AU75" s="10"/>
      <c r="AV75" s="10">
        <f t="shared" si="34"/>
        <v>0</v>
      </c>
      <c r="AX75" s="10">
        <f t="shared" si="37"/>
        <v>0</v>
      </c>
      <c r="AZ75" s="10">
        <f t="shared" si="21"/>
        <v>0</v>
      </c>
      <c r="BA75" s="10"/>
      <c r="BB75" s="10"/>
      <c r="BC75" s="10"/>
      <c r="BD75" s="10">
        <f t="shared" si="22"/>
        <v>0</v>
      </c>
      <c r="BK75" s="9">
        <f t="shared" si="23"/>
        <v>0</v>
      </c>
      <c r="BM75" s="9">
        <f t="shared" si="24"/>
        <v>0</v>
      </c>
      <c r="BP75" s="9">
        <f t="shared" si="25"/>
        <v>0</v>
      </c>
      <c r="BS75" s="9">
        <f t="shared" si="26"/>
        <v>0</v>
      </c>
      <c r="BT75" s="9"/>
      <c r="BU75" s="9"/>
      <c r="BV75" s="9"/>
    </row>
    <row r="76" spans="2:74" ht="12.75" hidden="1">
      <c r="B76">
        <v>9975</v>
      </c>
      <c r="C76" s="38" t="s">
        <v>131</v>
      </c>
      <c r="F76" s="9">
        <v>1890</v>
      </c>
      <c r="H76" s="10">
        <f t="shared" si="27"/>
        <v>1890</v>
      </c>
      <c r="I76" s="10"/>
      <c r="J76" s="9">
        <v>1890</v>
      </c>
      <c r="K76" s="33">
        <v>-200</v>
      </c>
      <c r="L76" s="10">
        <f t="shared" si="28"/>
        <v>1690</v>
      </c>
      <c r="M76" s="9">
        <f t="shared" si="29"/>
        <v>1627</v>
      </c>
      <c r="O76" s="9">
        <f t="shared" si="35"/>
        <v>1627</v>
      </c>
      <c r="P76" s="9">
        <f>63</f>
        <v>63</v>
      </c>
      <c r="U76" s="10">
        <f t="shared" si="36"/>
        <v>63</v>
      </c>
      <c r="V76" s="9">
        <f>479-63</f>
        <v>416</v>
      </c>
      <c r="W76" s="9">
        <f>U76+V76</f>
        <v>479</v>
      </c>
      <c r="X76" s="9">
        <v>-132</v>
      </c>
      <c r="AA76" s="9">
        <f t="shared" si="30"/>
        <v>347</v>
      </c>
      <c r="AB76" s="9">
        <v>-265</v>
      </c>
      <c r="AD76" s="10">
        <f t="shared" si="31"/>
        <v>82</v>
      </c>
      <c r="AE76" s="10"/>
      <c r="AF76" s="10"/>
      <c r="AG76" s="10">
        <f t="shared" si="32"/>
        <v>82</v>
      </c>
      <c r="AH76" s="10"/>
      <c r="AI76" s="10"/>
      <c r="AJ76" s="10"/>
      <c r="AK76" s="10"/>
      <c r="AL76" s="10"/>
      <c r="AN76" s="55"/>
      <c r="AO76" s="9">
        <f t="shared" si="33"/>
        <v>0</v>
      </c>
      <c r="AT76" s="10">
        <f t="shared" si="20"/>
        <v>0</v>
      </c>
      <c r="AU76" s="10"/>
      <c r="AV76" s="10">
        <f t="shared" si="34"/>
        <v>0</v>
      </c>
      <c r="AX76" s="10">
        <f t="shared" si="37"/>
        <v>0</v>
      </c>
      <c r="AZ76" s="10">
        <f t="shared" si="21"/>
        <v>0</v>
      </c>
      <c r="BA76" s="10"/>
      <c r="BB76" s="10"/>
      <c r="BC76" s="10"/>
      <c r="BD76" s="10">
        <f t="shared" si="22"/>
        <v>0</v>
      </c>
      <c r="BK76" s="9">
        <f t="shared" si="23"/>
        <v>0</v>
      </c>
      <c r="BM76" s="9">
        <f t="shared" si="24"/>
        <v>0</v>
      </c>
      <c r="BP76" s="9">
        <f t="shared" si="25"/>
        <v>0</v>
      </c>
      <c r="BS76" s="9">
        <f t="shared" si="26"/>
        <v>0</v>
      </c>
      <c r="BT76" s="9"/>
      <c r="BU76" s="9"/>
      <c r="BV76" s="9"/>
    </row>
    <row r="77" spans="2:74" ht="12.75" hidden="1">
      <c r="B77">
        <v>9985</v>
      </c>
      <c r="C77" s="38" t="s">
        <v>132</v>
      </c>
      <c r="G77" s="9">
        <f>200+66</f>
        <v>266</v>
      </c>
      <c r="H77" s="10">
        <f t="shared" si="27"/>
        <v>266</v>
      </c>
      <c r="I77" s="10">
        <v>266</v>
      </c>
      <c r="K77" s="33">
        <v>39</v>
      </c>
      <c r="L77" s="10">
        <f t="shared" si="28"/>
        <v>39</v>
      </c>
      <c r="M77" s="9">
        <f t="shared" si="29"/>
        <v>39</v>
      </c>
      <c r="O77" s="9">
        <f t="shared" si="35"/>
        <v>39</v>
      </c>
      <c r="P77" s="10"/>
      <c r="Q77" s="10"/>
      <c r="U77" s="10">
        <f>T77+P77+Q77+300</f>
        <v>300</v>
      </c>
      <c r="V77" s="10"/>
      <c r="W77" s="9">
        <f>U77+V77</f>
        <v>300</v>
      </c>
      <c r="X77" s="9">
        <v>-300</v>
      </c>
      <c r="AA77" s="9">
        <f t="shared" si="30"/>
        <v>0</v>
      </c>
      <c r="AD77" s="10">
        <f t="shared" si="31"/>
        <v>0</v>
      </c>
      <c r="AE77" s="10"/>
      <c r="AF77" s="10"/>
      <c r="AG77" s="10">
        <f t="shared" si="32"/>
        <v>0</v>
      </c>
      <c r="AH77" s="10"/>
      <c r="AI77" s="10"/>
      <c r="AJ77" s="10"/>
      <c r="AK77" s="10"/>
      <c r="AL77" s="10"/>
      <c r="AN77" s="55"/>
      <c r="AO77" s="9">
        <f t="shared" si="33"/>
        <v>0</v>
      </c>
      <c r="AT77" s="10">
        <f t="shared" si="20"/>
        <v>0</v>
      </c>
      <c r="AU77" s="10"/>
      <c r="AV77" s="10">
        <f t="shared" si="34"/>
        <v>0</v>
      </c>
      <c r="AX77" s="10">
        <f t="shared" si="37"/>
        <v>0</v>
      </c>
      <c r="AZ77" s="10">
        <f t="shared" si="21"/>
        <v>0</v>
      </c>
      <c r="BA77" s="10"/>
      <c r="BB77" s="10"/>
      <c r="BC77" s="10"/>
      <c r="BD77" s="10">
        <f t="shared" si="22"/>
        <v>0</v>
      </c>
      <c r="BK77" s="9">
        <f t="shared" si="23"/>
        <v>0</v>
      </c>
      <c r="BM77" s="9">
        <f t="shared" si="24"/>
        <v>0</v>
      </c>
      <c r="BP77" s="9">
        <f t="shared" si="25"/>
        <v>0</v>
      </c>
      <c r="BS77" s="9">
        <f t="shared" si="26"/>
        <v>0</v>
      </c>
      <c r="BT77" s="9"/>
      <c r="BU77" s="9"/>
      <c r="BV77" s="9"/>
    </row>
    <row r="78" spans="2:74" ht="12.75" hidden="1">
      <c r="B78">
        <v>9623</v>
      </c>
      <c r="C78" s="38" t="s">
        <v>133</v>
      </c>
      <c r="F78" s="9">
        <v>258</v>
      </c>
      <c r="H78" s="10">
        <f t="shared" si="27"/>
        <v>258</v>
      </c>
      <c r="I78" s="10">
        <v>58</v>
      </c>
      <c r="J78" s="9">
        <f>100+150</f>
        <v>250</v>
      </c>
      <c r="K78" s="33">
        <f>32-100</f>
        <v>-68</v>
      </c>
      <c r="L78" s="10">
        <f t="shared" si="28"/>
        <v>182</v>
      </c>
      <c r="M78" s="9">
        <f t="shared" si="29"/>
        <v>182</v>
      </c>
      <c r="O78" s="9">
        <f t="shared" si="35"/>
        <v>182</v>
      </c>
      <c r="P78" s="10"/>
      <c r="Q78" s="10"/>
      <c r="T78" s="9">
        <v>50</v>
      </c>
      <c r="U78" s="10">
        <f>T78+P78+Q78</f>
        <v>50</v>
      </c>
      <c r="V78" s="10"/>
      <c r="W78" s="9">
        <f>U78+V78</f>
        <v>50</v>
      </c>
      <c r="AA78" s="9">
        <f t="shared" si="30"/>
        <v>50</v>
      </c>
      <c r="AD78" s="10">
        <f t="shared" si="31"/>
        <v>50</v>
      </c>
      <c r="AE78" s="10"/>
      <c r="AF78" s="10"/>
      <c r="AG78" s="10">
        <f t="shared" si="32"/>
        <v>50</v>
      </c>
      <c r="AH78" s="10"/>
      <c r="AI78" s="10"/>
      <c r="AJ78" s="10"/>
      <c r="AK78" s="10"/>
      <c r="AL78" s="10"/>
      <c r="AN78" s="55"/>
      <c r="AO78" s="9">
        <f t="shared" si="33"/>
        <v>0</v>
      </c>
      <c r="AT78" s="10">
        <f t="shared" si="20"/>
        <v>0</v>
      </c>
      <c r="AU78" s="10"/>
      <c r="AV78" s="10">
        <f t="shared" si="34"/>
        <v>0</v>
      </c>
      <c r="AX78" s="10">
        <f t="shared" si="37"/>
        <v>0</v>
      </c>
      <c r="AZ78" s="10">
        <f t="shared" si="21"/>
        <v>0</v>
      </c>
      <c r="BA78" s="10"/>
      <c r="BB78" s="10"/>
      <c r="BC78" s="10"/>
      <c r="BD78" s="10">
        <f t="shared" si="22"/>
        <v>0</v>
      </c>
      <c r="BK78" s="9">
        <f t="shared" si="23"/>
        <v>0</v>
      </c>
      <c r="BM78" s="9">
        <f t="shared" si="24"/>
        <v>0</v>
      </c>
      <c r="BP78" s="9">
        <f t="shared" si="25"/>
        <v>0</v>
      </c>
      <c r="BS78" s="9">
        <f t="shared" si="26"/>
        <v>0</v>
      </c>
      <c r="BT78" s="9"/>
      <c r="BU78" s="9"/>
      <c r="BV78" s="9"/>
    </row>
    <row r="79" spans="2:74" ht="12.75" hidden="1">
      <c r="B79">
        <v>9988</v>
      </c>
      <c r="C79" s="38" t="s">
        <v>134</v>
      </c>
      <c r="F79" s="9">
        <v>200</v>
      </c>
      <c r="H79" s="10">
        <f t="shared" si="27"/>
        <v>200</v>
      </c>
      <c r="I79" s="10">
        <v>0</v>
      </c>
      <c r="J79" s="9">
        <v>200</v>
      </c>
      <c r="K79" s="33">
        <v>200</v>
      </c>
      <c r="L79" s="10">
        <f t="shared" si="28"/>
        <v>400</v>
      </c>
      <c r="M79" s="9">
        <f t="shared" si="29"/>
        <v>305</v>
      </c>
      <c r="O79" s="9">
        <f t="shared" si="35"/>
        <v>305</v>
      </c>
      <c r="P79" s="10">
        <f>95</f>
        <v>95</v>
      </c>
      <c r="Q79" s="10"/>
      <c r="U79" s="10">
        <f>T79+P79+Q79</f>
        <v>95</v>
      </c>
      <c r="V79" s="10">
        <f>218-95</f>
        <v>123</v>
      </c>
      <c r="W79" s="9">
        <f>U79+V79</f>
        <v>218</v>
      </c>
      <c r="X79" s="9">
        <v>132</v>
      </c>
      <c r="AA79" s="9">
        <f t="shared" si="30"/>
        <v>350</v>
      </c>
      <c r="AD79" s="10">
        <f t="shared" si="31"/>
        <v>350</v>
      </c>
      <c r="AE79" s="10"/>
      <c r="AF79" s="10"/>
      <c r="AG79" s="10">
        <f t="shared" si="32"/>
        <v>350</v>
      </c>
      <c r="AH79" s="10"/>
      <c r="AI79" s="10"/>
      <c r="AJ79" s="10"/>
      <c r="AK79" s="10"/>
      <c r="AL79" s="10"/>
      <c r="AN79" s="55">
        <v>30</v>
      </c>
      <c r="AO79" s="9">
        <f t="shared" si="33"/>
        <v>30</v>
      </c>
      <c r="AT79" s="10">
        <f t="shared" si="20"/>
        <v>30</v>
      </c>
      <c r="AU79" s="10"/>
      <c r="AV79" s="10">
        <f t="shared" si="34"/>
        <v>30</v>
      </c>
      <c r="AX79" s="10"/>
      <c r="AY79" s="10">
        <v>29.75</v>
      </c>
      <c r="AZ79" s="10">
        <f t="shared" si="21"/>
        <v>29.75</v>
      </c>
      <c r="BA79" s="10">
        <v>30</v>
      </c>
      <c r="BB79" s="10"/>
      <c r="BC79" s="10"/>
      <c r="BD79" s="10">
        <f t="shared" si="22"/>
        <v>30</v>
      </c>
      <c r="BK79" s="9">
        <f t="shared" si="23"/>
        <v>0</v>
      </c>
      <c r="BM79" s="9">
        <f t="shared" si="24"/>
        <v>0</v>
      </c>
      <c r="BP79" s="9">
        <f t="shared" si="25"/>
        <v>0</v>
      </c>
      <c r="BS79" s="9">
        <f t="shared" si="26"/>
        <v>0</v>
      </c>
      <c r="BT79" s="9"/>
      <c r="BU79" s="9"/>
      <c r="BV79" s="9"/>
    </row>
    <row r="80" spans="3:74" ht="12.75" hidden="1">
      <c r="C80" s="38" t="s">
        <v>135</v>
      </c>
      <c r="F80" s="9">
        <v>0</v>
      </c>
      <c r="G80" s="9">
        <v>14</v>
      </c>
      <c r="H80" s="10">
        <f t="shared" si="27"/>
        <v>14</v>
      </c>
      <c r="I80" s="10">
        <v>14</v>
      </c>
      <c r="K80" s="33"/>
      <c r="L80" s="10">
        <f t="shared" si="28"/>
        <v>0</v>
      </c>
      <c r="M80" s="9">
        <f t="shared" si="29"/>
        <v>0</v>
      </c>
      <c r="O80" s="9">
        <f>N80-T80</f>
        <v>0</v>
      </c>
      <c r="P80" s="10"/>
      <c r="Q80" s="10"/>
      <c r="V80" s="10"/>
      <c r="AA80" s="9">
        <f t="shared" si="30"/>
        <v>0</v>
      </c>
      <c r="AD80" s="10">
        <f t="shared" si="31"/>
        <v>0</v>
      </c>
      <c r="AE80" s="10"/>
      <c r="AF80" s="10"/>
      <c r="AG80" s="10">
        <f t="shared" si="32"/>
        <v>0</v>
      </c>
      <c r="AH80" s="10"/>
      <c r="AI80" s="10"/>
      <c r="AJ80" s="10"/>
      <c r="AK80" s="10"/>
      <c r="AL80" s="10"/>
      <c r="AN80" s="55"/>
      <c r="AO80" s="9">
        <f t="shared" si="33"/>
        <v>0</v>
      </c>
      <c r="AT80" s="10">
        <f t="shared" si="20"/>
        <v>0</v>
      </c>
      <c r="AU80" s="10"/>
      <c r="AV80" s="10">
        <f t="shared" si="34"/>
        <v>0</v>
      </c>
      <c r="AX80" s="10">
        <f aca="true" t="shared" si="38" ref="AX80:AX85">AW80+AU80</f>
        <v>0</v>
      </c>
      <c r="AZ80" s="10">
        <f t="shared" si="21"/>
        <v>0</v>
      </c>
      <c r="BA80" s="10"/>
      <c r="BB80" s="10"/>
      <c r="BC80" s="10"/>
      <c r="BD80" s="10">
        <f t="shared" si="22"/>
        <v>0</v>
      </c>
      <c r="BK80" s="9">
        <f t="shared" si="23"/>
        <v>0</v>
      </c>
      <c r="BM80" s="9">
        <f t="shared" si="24"/>
        <v>0</v>
      </c>
      <c r="BP80" s="9">
        <f t="shared" si="25"/>
        <v>0</v>
      </c>
      <c r="BS80" s="9">
        <f t="shared" si="26"/>
        <v>0</v>
      </c>
      <c r="BT80" s="9"/>
      <c r="BU80" s="9"/>
      <c r="BV80" s="9"/>
    </row>
    <row r="81" spans="2:74" ht="12.75" hidden="1">
      <c r="B81">
        <v>9979</v>
      </c>
      <c r="C81" s="38" t="s">
        <v>136</v>
      </c>
      <c r="G81" s="9">
        <v>3</v>
      </c>
      <c r="H81" s="10">
        <f t="shared" si="27"/>
        <v>3</v>
      </c>
      <c r="I81" s="10">
        <f>3</f>
        <v>3</v>
      </c>
      <c r="K81" s="33">
        <v>3</v>
      </c>
      <c r="L81" s="10">
        <f t="shared" si="28"/>
        <v>3</v>
      </c>
      <c r="M81" s="9">
        <f t="shared" si="29"/>
        <v>3</v>
      </c>
      <c r="O81" s="9">
        <f>M81+N81</f>
        <v>3</v>
      </c>
      <c r="P81" s="10"/>
      <c r="Q81" s="10"/>
      <c r="U81" s="10">
        <f>T81+P81+Q81</f>
        <v>0</v>
      </c>
      <c r="V81" s="10">
        <v>2.5</v>
      </c>
      <c r="W81" s="10">
        <f>U81+V81</f>
        <v>2.5</v>
      </c>
      <c r="X81" s="10"/>
      <c r="Y81" s="10"/>
      <c r="Z81" s="10"/>
      <c r="AA81" s="10">
        <f t="shared" si="30"/>
        <v>2.5</v>
      </c>
      <c r="AB81" s="10"/>
      <c r="AC81" s="10"/>
      <c r="AD81" s="10">
        <f t="shared" si="31"/>
        <v>2.5</v>
      </c>
      <c r="AE81" s="10"/>
      <c r="AF81" s="10"/>
      <c r="AG81" s="10">
        <f t="shared" si="32"/>
        <v>2.5</v>
      </c>
      <c r="AH81" s="10"/>
      <c r="AI81" s="10"/>
      <c r="AJ81" s="10"/>
      <c r="AK81" s="10"/>
      <c r="AL81" s="10"/>
      <c r="AN81" s="55"/>
      <c r="AO81" s="9">
        <f t="shared" si="33"/>
        <v>0</v>
      </c>
      <c r="AT81" s="10">
        <f t="shared" si="20"/>
        <v>0</v>
      </c>
      <c r="AU81" s="10"/>
      <c r="AV81" s="10">
        <f t="shared" si="34"/>
        <v>0</v>
      </c>
      <c r="AX81" s="10">
        <f t="shared" si="38"/>
        <v>0</v>
      </c>
      <c r="AZ81" s="10">
        <f t="shared" si="21"/>
        <v>0</v>
      </c>
      <c r="BA81" s="10"/>
      <c r="BB81" s="10"/>
      <c r="BC81" s="10"/>
      <c r="BD81" s="10">
        <f t="shared" si="22"/>
        <v>0</v>
      </c>
      <c r="BK81" s="9">
        <f t="shared" si="23"/>
        <v>0</v>
      </c>
      <c r="BM81" s="9">
        <f t="shared" si="24"/>
        <v>0</v>
      </c>
      <c r="BP81" s="9">
        <f t="shared" si="25"/>
        <v>0</v>
      </c>
      <c r="BS81" s="9">
        <f t="shared" si="26"/>
        <v>0</v>
      </c>
      <c r="BT81" s="9"/>
      <c r="BU81" s="9"/>
      <c r="BV81" s="9"/>
    </row>
    <row r="82" spans="2:74" ht="12.75" hidden="1">
      <c r="B82">
        <v>9628</v>
      </c>
      <c r="C82" s="38" t="s">
        <v>137</v>
      </c>
      <c r="H82" s="10"/>
      <c r="I82" s="10"/>
      <c r="K82" s="33">
        <f>300+100</f>
        <v>400</v>
      </c>
      <c r="L82" s="10">
        <f t="shared" si="28"/>
        <v>400</v>
      </c>
      <c r="M82" s="9">
        <f t="shared" si="29"/>
        <v>400</v>
      </c>
      <c r="O82" s="9">
        <f>M82+N82</f>
        <v>400</v>
      </c>
      <c r="P82" s="10"/>
      <c r="Q82" s="10"/>
      <c r="V82" s="10"/>
      <c r="AA82" s="9">
        <f t="shared" si="30"/>
        <v>0</v>
      </c>
      <c r="AD82" s="10">
        <f t="shared" si="31"/>
        <v>0</v>
      </c>
      <c r="AE82" s="10"/>
      <c r="AF82" s="10"/>
      <c r="AG82" s="10">
        <f t="shared" si="32"/>
        <v>0</v>
      </c>
      <c r="AH82" s="10"/>
      <c r="AI82" s="10"/>
      <c r="AJ82" s="10"/>
      <c r="AK82" s="10"/>
      <c r="AL82" s="10"/>
      <c r="AN82" s="55"/>
      <c r="AO82" s="9">
        <f t="shared" si="33"/>
        <v>0</v>
      </c>
      <c r="AT82" s="10">
        <f t="shared" si="20"/>
        <v>0</v>
      </c>
      <c r="AU82" s="10"/>
      <c r="AV82" s="10">
        <f t="shared" si="34"/>
        <v>0</v>
      </c>
      <c r="AX82" s="10">
        <f t="shared" si="38"/>
        <v>0</v>
      </c>
      <c r="AZ82" s="10">
        <f t="shared" si="21"/>
        <v>0</v>
      </c>
      <c r="BA82" s="10"/>
      <c r="BB82" s="10"/>
      <c r="BC82" s="10"/>
      <c r="BD82" s="10">
        <f t="shared" si="22"/>
        <v>0</v>
      </c>
      <c r="BK82" s="9">
        <f t="shared" si="23"/>
        <v>0</v>
      </c>
      <c r="BM82" s="9">
        <f t="shared" si="24"/>
        <v>0</v>
      </c>
      <c r="BP82" s="9">
        <f t="shared" si="25"/>
        <v>0</v>
      </c>
      <c r="BS82" s="9">
        <f t="shared" si="26"/>
        <v>0</v>
      </c>
      <c r="BT82" s="9"/>
      <c r="BU82" s="9"/>
      <c r="BV82" s="9"/>
    </row>
    <row r="83" spans="2:74" ht="12.75" hidden="1">
      <c r="B83">
        <v>9629</v>
      </c>
      <c r="C83" s="38" t="s">
        <v>138</v>
      </c>
      <c r="H83" s="10"/>
      <c r="I83" s="10"/>
      <c r="K83" s="33">
        <f>88-15</f>
        <v>73</v>
      </c>
      <c r="L83" s="10">
        <f t="shared" si="28"/>
        <v>73</v>
      </c>
      <c r="M83" s="9">
        <f t="shared" si="29"/>
        <v>73</v>
      </c>
      <c r="O83" s="9">
        <f>M83+N83</f>
        <v>73</v>
      </c>
      <c r="P83" s="10"/>
      <c r="Q83" s="10"/>
      <c r="V83" s="10"/>
      <c r="AA83" s="9">
        <f t="shared" si="30"/>
        <v>0</v>
      </c>
      <c r="AD83" s="10">
        <f t="shared" si="31"/>
        <v>0</v>
      </c>
      <c r="AE83" s="10"/>
      <c r="AF83" s="10"/>
      <c r="AG83" s="10">
        <f t="shared" si="32"/>
        <v>0</v>
      </c>
      <c r="AH83" s="10"/>
      <c r="AI83" s="10"/>
      <c r="AJ83" s="10"/>
      <c r="AK83" s="10"/>
      <c r="AL83" s="10"/>
      <c r="AN83" s="55"/>
      <c r="AO83" s="9">
        <f t="shared" si="33"/>
        <v>0</v>
      </c>
      <c r="AT83" s="10">
        <f t="shared" si="20"/>
        <v>0</v>
      </c>
      <c r="AU83" s="10"/>
      <c r="AV83" s="10">
        <f t="shared" si="34"/>
        <v>0</v>
      </c>
      <c r="AW83" s="9">
        <f>150-150</f>
        <v>0</v>
      </c>
      <c r="AX83" s="10">
        <f t="shared" si="38"/>
        <v>0</v>
      </c>
      <c r="AZ83" s="10">
        <f t="shared" si="21"/>
        <v>0</v>
      </c>
      <c r="BA83" s="10"/>
      <c r="BB83" s="10"/>
      <c r="BC83" s="10"/>
      <c r="BD83" s="10">
        <f t="shared" si="22"/>
        <v>0</v>
      </c>
      <c r="BK83" s="9">
        <f t="shared" si="23"/>
        <v>0</v>
      </c>
      <c r="BM83" s="9">
        <f t="shared" si="24"/>
        <v>0</v>
      </c>
      <c r="BP83" s="9">
        <f t="shared" si="25"/>
        <v>0</v>
      </c>
      <c r="BS83" s="9">
        <f t="shared" si="26"/>
        <v>0</v>
      </c>
      <c r="BT83" s="9"/>
      <c r="BU83" s="9"/>
      <c r="BV83" s="9"/>
    </row>
    <row r="84" spans="2:74" ht="12.75">
      <c r="B84">
        <v>9637</v>
      </c>
      <c r="C84" s="38" t="s">
        <v>132</v>
      </c>
      <c r="H84" s="10"/>
      <c r="I84" s="10"/>
      <c r="K84" s="33"/>
      <c r="L84" s="10"/>
      <c r="M84" s="10"/>
      <c r="N84" s="10"/>
      <c r="O84" s="10"/>
      <c r="P84" s="10"/>
      <c r="Q84" s="10"/>
      <c r="T84" s="9">
        <v>500</v>
      </c>
      <c r="U84" s="9">
        <f>T84+P84</f>
        <v>500</v>
      </c>
      <c r="V84" s="10"/>
      <c r="W84" s="9">
        <f>U84+V84</f>
        <v>500</v>
      </c>
      <c r="X84" s="9">
        <f>300+200+500</f>
        <v>1000</v>
      </c>
      <c r="AA84" s="9">
        <f t="shared" si="30"/>
        <v>1500</v>
      </c>
      <c r="AB84" s="9">
        <v>-335</v>
      </c>
      <c r="AD84" s="10">
        <f t="shared" si="31"/>
        <v>1165</v>
      </c>
      <c r="AE84" s="10"/>
      <c r="AF84" s="10"/>
      <c r="AG84" s="10">
        <f t="shared" si="32"/>
        <v>1165</v>
      </c>
      <c r="AH84" s="10"/>
      <c r="AI84" s="10"/>
      <c r="AJ84" s="10"/>
      <c r="AK84" s="10"/>
      <c r="AL84" s="10"/>
      <c r="AM84" s="9">
        <f>500-75</f>
        <v>425</v>
      </c>
      <c r="AN84" s="55">
        <v>328.748</v>
      </c>
      <c r="AO84" s="9">
        <f t="shared" si="33"/>
        <v>753.748</v>
      </c>
      <c r="AT84" s="10">
        <f t="shared" si="20"/>
        <v>753.748</v>
      </c>
      <c r="AU84" s="10"/>
      <c r="AV84" s="10">
        <f t="shared" si="34"/>
        <v>753.748</v>
      </c>
      <c r="AW84" s="9">
        <f>300-50</f>
        <v>250</v>
      </c>
      <c r="AX84" s="10">
        <f t="shared" si="38"/>
        <v>250</v>
      </c>
      <c r="AY84" s="10">
        <v>141.434</v>
      </c>
      <c r="AZ84" s="10">
        <f t="shared" si="21"/>
        <v>391.43399999999997</v>
      </c>
      <c r="BA84" s="10">
        <v>391</v>
      </c>
      <c r="BB84" s="10">
        <v>-130</v>
      </c>
      <c r="BC84" s="10"/>
      <c r="BD84" s="10">
        <f t="shared" si="22"/>
        <v>261</v>
      </c>
      <c r="BE84" s="9">
        <f>250-150+130</f>
        <v>230</v>
      </c>
      <c r="BF84" s="9">
        <v>101</v>
      </c>
      <c r="BH84" s="9">
        <v>-19</v>
      </c>
      <c r="BK84" s="9">
        <f t="shared" si="23"/>
        <v>312</v>
      </c>
      <c r="BM84" s="9">
        <f t="shared" si="24"/>
        <v>312</v>
      </c>
      <c r="BP84" s="9">
        <f t="shared" si="25"/>
        <v>312</v>
      </c>
      <c r="BS84" s="9">
        <f t="shared" si="26"/>
        <v>0</v>
      </c>
      <c r="BT84" s="9"/>
      <c r="BU84" s="9"/>
      <c r="BV84" s="9"/>
    </row>
    <row r="85" spans="2:74" ht="12.75" hidden="1">
      <c r="B85">
        <v>9626</v>
      </c>
      <c r="C85" s="38" t="s">
        <v>139</v>
      </c>
      <c r="F85" s="9">
        <v>31</v>
      </c>
      <c r="H85" s="10">
        <f>SUM(F85:G85)</f>
        <v>31</v>
      </c>
      <c r="I85" s="10">
        <v>31</v>
      </c>
      <c r="K85" s="33">
        <v>31</v>
      </c>
      <c r="L85" s="10">
        <f>SUM(J85:K85)</f>
        <v>31</v>
      </c>
      <c r="M85" s="9">
        <f>L85-P85</f>
        <v>31</v>
      </c>
      <c r="O85" s="9">
        <f>M85+N85</f>
        <v>31</v>
      </c>
      <c r="P85" s="10"/>
      <c r="Q85" s="10"/>
      <c r="V85" s="10">
        <v>31</v>
      </c>
      <c r="W85" s="9">
        <f>U85+V85</f>
        <v>31</v>
      </c>
      <c r="AA85" s="9">
        <f t="shared" si="30"/>
        <v>31</v>
      </c>
      <c r="AD85" s="10">
        <f t="shared" si="31"/>
        <v>31</v>
      </c>
      <c r="AE85" s="10"/>
      <c r="AF85" s="10"/>
      <c r="AG85" s="10">
        <f t="shared" si="32"/>
        <v>31</v>
      </c>
      <c r="AH85" s="10"/>
      <c r="AI85" s="10"/>
      <c r="AJ85" s="10"/>
      <c r="AK85" s="10"/>
      <c r="AL85" s="10"/>
      <c r="AM85" s="10"/>
      <c r="AN85" s="55">
        <f>184.7+92.987-278</f>
        <v>-0.3129999999999882</v>
      </c>
      <c r="AO85" s="10">
        <f t="shared" si="33"/>
        <v>-0.3129999999999882</v>
      </c>
      <c r="AP85" s="10">
        <v>1450</v>
      </c>
      <c r="AQ85" s="10"/>
      <c r="AR85" s="10"/>
      <c r="AS85" s="10"/>
      <c r="AT85" s="10">
        <f t="shared" si="20"/>
        <v>1449.687</v>
      </c>
      <c r="AU85" s="10">
        <v>350</v>
      </c>
      <c r="AV85" s="10">
        <f t="shared" si="34"/>
        <v>1099.687</v>
      </c>
      <c r="AX85" s="10">
        <f t="shared" si="38"/>
        <v>350</v>
      </c>
      <c r="AZ85" s="10">
        <f t="shared" si="21"/>
        <v>350</v>
      </c>
      <c r="BA85" s="10">
        <v>488</v>
      </c>
      <c r="BB85" s="10"/>
      <c r="BC85" s="10"/>
      <c r="BD85" s="10">
        <f t="shared" si="22"/>
        <v>488</v>
      </c>
      <c r="BK85" s="9">
        <f t="shared" si="23"/>
        <v>0</v>
      </c>
      <c r="BM85" s="9">
        <f t="shared" si="24"/>
        <v>0</v>
      </c>
      <c r="BP85" s="9">
        <f t="shared" si="25"/>
        <v>0</v>
      </c>
      <c r="BS85" s="9">
        <f t="shared" si="26"/>
        <v>0</v>
      </c>
      <c r="BT85" s="9"/>
      <c r="BU85" s="9"/>
      <c r="BV85" s="9"/>
    </row>
    <row r="86" spans="3:74" ht="12.75" hidden="1">
      <c r="C86" s="38" t="s">
        <v>140</v>
      </c>
      <c r="H86" s="10"/>
      <c r="I86" s="10"/>
      <c r="K86" s="33">
        <v>338</v>
      </c>
      <c r="L86" s="10">
        <f>SUM(J86:K86)</f>
        <v>338</v>
      </c>
      <c r="M86" s="9">
        <f>L86-P86</f>
        <v>338</v>
      </c>
      <c r="N86" s="10"/>
      <c r="O86" s="9">
        <f>M86+N86</f>
        <v>338</v>
      </c>
      <c r="P86" s="10"/>
      <c r="Q86" s="10"/>
      <c r="V86" s="10"/>
      <c r="AA86" s="9">
        <f t="shared" si="30"/>
        <v>0</v>
      </c>
      <c r="AD86" s="10">
        <f t="shared" si="31"/>
        <v>0</v>
      </c>
      <c r="AE86" s="10"/>
      <c r="AF86" s="10"/>
      <c r="AG86" s="10">
        <f t="shared" si="32"/>
        <v>0</v>
      </c>
      <c r="AH86" s="10"/>
      <c r="AI86" s="10"/>
      <c r="AJ86" s="10"/>
      <c r="AK86" s="10"/>
      <c r="AL86" s="10"/>
      <c r="AN86" s="55"/>
      <c r="AT86" s="10">
        <f t="shared" si="20"/>
        <v>0</v>
      </c>
      <c r="AU86" s="10"/>
      <c r="AW86" s="9">
        <f>350-200</f>
        <v>150</v>
      </c>
      <c r="AX86" s="10">
        <f>AW86+AU86-50-50</f>
        <v>50</v>
      </c>
      <c r="AZ86" s="10">
        <f t="shared" si="21"/>
        <v>50</v>
      </c>
      <c r="BA86" s="10">
        <v>50</v>
      </c>
      <c r="BB86" s="10"/>
      <c r="BC86" s="10"/>
      <c r="BD86" s="10">
        <f t="shared" si="22"/>
        <v>50</v>
      </c>
      <c r="BK86" s="9">
        <f t="shared" si="23"/>
        <v>0</v>
      </c>
      <c r="BM86" s="9">
        <f t="shared" si="24"/>
        <v>0</v>
      </c>
      <c r="BP86" s="9">
        <f t="shared" si="25"/>
        <v>0</v>
      </c>
      <c r="BS86" s="9">
        <f t="shared" si="26"/>
        <v>0</v>
      </c>
      <c r="BT86" s="9"/>
      <c r="BU86" s="9"/>
      <c r="BV86" s="9"/>
    </row>
    <row r="87" spans="2:74" ht="12.75">
      <c r="B87">
        <v>9625</v>
      </c>
      <c r="C87" s="38" t="s">
        <v>141</v>
      </c>
      <c r="F87" s="9">
        <v>2346</v>
      </c>
      <c r="H87" s="10">
        <f>SUM(F87:G87)</f>
        <v>2346</v>
      </c>
      <c r="I87" s="10"/>
      <c r="K87" s="33"/>
      <c r="L87" s="10">
        <f>SUM(J87:K87)</f>
        <v>0</v>
      </c>
      <c r="M87" s="9">
        <f>L87-P87</f>
        <v>0</v>
      </c>
      <c r="O87" s="9">
        <f>M87+N87</f>
        <v>0</v>
      </c>
      <c r="P87" s="10"/>
      <c r="Q87" s="10"/>
      <c r="T87" s="9">
        <v>2340</v>
      </c>
      <c r="U87" s="9">
        <f>1337+655</f>
        <v>1992</v>
      </c>
      <c r="V87" s="10"/>
      <c r="W87" s="9">
        <f aca="true" t="shared" si="39" ref="W87:W93">U87+V87</f>
        <v>1992</v>
      </c>
      <c r="AA87" s="9">
        <f t="shared" si="30"/>
        <v>1992</v>
      </c>
      <c r="AD87" s="10">
        <f t="shared" si="31"/>
        <v>1992</v>
      </c>
      <c r="AE87" s="10"/>
      <c r="AF87" s="10"/>
      <c r="AG87" s="10">
        <f t="shared" si="32"/>
        <v>1992</v>
      </c>
      <c r="AH87" s="10">
        <v>-250</v>
      </c>
      <c r="AI87" s="10"/>
      <c r="AJ87" s="10"/>
      <c r="AK87" s="10"/>
      <c r="AL87" s="10"/>
      <c r="AM87" s="9">
        <f>688+90</f>
        <v>778</v>
      </c>
      <c r="AN87" s="55">
        <f>490+3.53</f>
        <v>493.53</v>
      </c>
      <c r="AO87" s="10">
        <f aca="true" t="shared" si="40" ref="AO87:AO93">AM87+AN87</f>
        <v>1271.53</v>
      </c>
      <c r="AT87" s="10">
        <f t="shared" si="20"/>
        <v>1271.53</v>
      </c>
      <c r="AU87" s="10"/>
      <c r="AV87" s="10">
        <f>AT87-AU87</f>
        <v>1271.53</v>
      </c>
      <c r="AX87" s="10"/>
      <c r="AY87" s="10">
        <v>69.592</v>
      </c>
      <c r="AZ87" s="10">
        <f t="shared" si="21"/>
        <v>69.592</v>
      </c>
      <c r="BA87" s="10">
        <v>70</v>
      </c>
      <c r="BB87" s="10"/>
      <c r="BC87" s="10"/>
      <c r="BD87" s="10">
        <f t="shared" si="22"/>
        <v>70</v>
      </c>
      <c r="BK87" s="9">
        <f t="shared" si="23"/>
        <v>0</v>
      </c>
      <c r="BM87" s="9">
        <f t="shared" si="24"/>
        <v>0</v>
      </c>
      <c r="BP87" s="9">
        <f t="shared" si="25"/>
        <v>0</v>
      </c>
      <c r="BS87" s="9">
        <f t="shared" si="26"/>
        <v>0</v>
      </c>
      <c r="BT87" s="9"/>
      <c r="BU87" s="9">
        <v>600</v>
      </c>
      <c r="BV87" s="9">
        <v>200</v>
      </c>
    </row>
    <row r="88" spans="2:74" ht="12.75">
      <c r="B88">
        <v>9638</v>
      </c>
      <c r="C88" s="38" t="s">
        <v>142</v>
      </c>
      <c r="H88" s="10"/>
      <c r="I88" s="10"/>
      <c r="K88" s="33"/>
      <c r="L88" s="10"/>
      <c r="M88" s="10"/>
      <c r="N88" s="10"/>
      <c r="O88" s="10"/>
      <c r="P88" s="10"/>
      <c r="Q88" s="10"/>
      <c r="T88" s="9">
        <v>100</v>
      </c>
      <c r="U88" s="9">
        <f>T88+P88</f>
        <v>100</v>
      </c>
      <c r="V88" s="10"/>
      <c r="W88" s="9">
        <f t="shared" si="39"/>
        <v>100</v>
      </c>
      <c r="AA88" s="9">
        <f t="shared" si="30"/>
        <v>100</v>
      </c>
      <c r="AD88" s="10">
        <f t="shared" si="31"/>
        <v>100</v>
      </c>
      <c r="AE88" s="10"/>
      <c r="AF88" s="10"/>
      <c r="AG88" s="10">
        <f t="shared" si="32"/>
        <v>100</v>
      </c>
      <c r="AH88" s="10"/>
      <c r="AI88" s="10"/>
      <c r="AJ88" s="10"/>
      <c r="AK88" s="10"/>
      <c r="AL88" s="10"/>
      <c r="AM88" s="9">
        <f>100-50</f>
        <v>50</v>
      </c>
      <c r="AN88" s="55"/>
      <c r="AO88" s="10">
        <f t="shared" si="40"/>
        <v>50</v>
      </c>
      <c r="AT88" s="10">
        <f t="shared" si="20"/>
        <v>50</v>
      </c>
      <c r="AU88" s="10"/>
      <c r="AV88" s="10">
        <f>AT88-AU88</f>
        <v>50</v>
      </c>
      <c r="AW88" s="9">
        <f>150-50</f>
        <v>100</v>
      </c>
      <c r="AX88" s="10">
        <f>AW88+AU88</f>
        <v>100</v>
      </c>
      <c r="AY88" s="10">
        <v>5</v>
      </c>
      <c r="AZ88" s="10">
        <f t="shared" si="21"/>
        <v>105</v>
      </c>
      <c r="BA88" s="10">
        <v>105</v>
      </c>
      <c r="BB88" s="10"/>
      <c r="BC88" s="10"/>
      <c r="BD88" s="10">
        <f t="shared" si="22"/>
        <v>105</v>
      </c>
      <c r="BE88" s="9">
        <f>450-150</f>
        <v>300</v>
      </c>
      <c r="BF88" s="9">
        <v>33</v>
      </c>
      <c r="BJ88" s="9">
        <v>50</v>
      </c>
      <c r="BK88" s="9">
        <f t="shared" si="23"/>
        <v>383</v>
      </c>
      <c r="BM88" s="9">
        <f t="shared" si="24"/>
        <v>383</v>
      </c>
      <c r="BP88" s="9">
        <f t="shared" si="25"/>
        <v>383</v>
      </c>
      <c r="BQ88" s="9">
        <v>250</v>
      </c>
      <c r="BS88" s="9">
        <f t="shared" si="26"/>
        <v>250</v>
      </c>
      <c r="BT88" s="9">
        <v>250</v>
      </c>
      <c r="BU88" s="9">
        <v>250</v>
      </c>
      <c r="BV88" s="9">
        <v>250</v>
      </c>
    </row>
    <row r="89" spans="2:74" ht="12.75">
      <c r="B89">
        <v>9639</v>
      </c>
      <c r="C89" s="38" t="s">
        <v>143</v>
      </c>
      <c r="H89" s="10"/>
      <c r="I89" s="10"/>
      <c r="K89" s="33"/>
      <c r="L89" s="10"/>
      <c r="M89" s="10"/>
      <c r="N89" s="10"/>
      <c r="O89" s="10"/>
      <c r="P89" s="10"/>
      <c r="Q89" s="10"/>
      <c r="T89" s="9">
        <v>500</v>
      </c>
      <c r="U89" s="9">
        <f>T89+P89</f>
        <v>500</v>
      </c>
      <c r="V89" s="10"/>
      <c r="W89" s="9">
        <f t="shared" si="39"/>
        <v>500</v>
      </c>
      <c r="AA89" s="9">
        <f t="shared" si="30"/>
        <v>500</v>
      </c>
      <c r="AD89" s="10">
        <f t="shared" si="31"/>
        <v>500</v>
      </c>
      <c r="AE89" s="10"/>
      <c r="AF89" s="10"/>
      <c r="AG89" s="10">
        <f t="shared" si="32"/>
        <v>500</v>
      </c>
      <c r="AH89" s="10"/>
      <c r="AI89" s="10"/>
      <c r="AJ89" s="10"/>
      <c r="AK89" s="10"/>
      <c r="AL89" s="10"/>
      <c r="AM89" s="9">
        <v>500</v>
      </c>
      <c r="AN89" s="55">
        <v>167.357</v>
      </c>
      <c r="AO89" s="10">
        <f t="shared" si="40"/>
        <v>667.357</v>
      </c>
      <c r="AT89" s="10">
        <f t="shared" si="20"/>
        <v>667.357</v>
      </c>
      <c r="AU89" s="10"/>
      <c r="AV89" s="10">
        <f>AT89-AU89</f>
        <v>667.357</v>
      </c>
      <c r="AW89" s="9">
        <v>500</v>
      </c>
      <c r="AX89" s="10">
        <f>AW89+AU89</f>
        <v>500</v>
      </c>
      <c r="AZ89" s="10">
        <f t="shared" si="21"/>
        <v>500</v>
      </c>
      <c r="BA89" s="10">
        <v>500</v>
      </c>
      <c r="BB89" s="10"/>
      <c r="BC89" s="10"/>
      <c r="BD89" s="10">
        <f t="shared" si="22"/>
        <v>500</v>
      </c>
      <c r="BE89" s="9">
        <v>500</v>
      </c>
      <c r="BK89" s="9">
        <f t="shared" si="23"/>
        <v>500</v>
      </c>
      <c r="BM89" s="9">
        <f t="shared" si="24"/>
        <v>500</v>
      </c>
      <c r="BN89" s="9">
        <v>-120</v>
      </c>
      <c r="BP89" s="9">
        <f t="shared" si="25"/>
        <v>380</v>
      </c>
      <c r="BQ89" s="9">
        <v>250</v>
      </c>
      <c r="BR89" s="9">
        <v>120</v>
      </c>
      <c r="BS89" s="9">
        <f t="shared" si="26"/>
        <v>370</v>
      </c>
      <c r="BT89" s="9">
        <v>250</v>
      </c>
      <c r="BU89" s="9">
        <v>250</v>
      </c>
      <c r="BV89" s="9">
        <v>250</v>
      </c>
    </row>
    <row r="90" spans="2:74" ht="12.75" hidden="1">
      <c r="B90">
        <v>9649</v>
      </c>
      <c r="C90" s="38" t="s">
        <v>144</v>
      </c>
      <c r="H90" s="10"/>
      <c r="I90" s="10"/>
      <c r="K90" s="33"/>
      <c r="L90" s="10"/>
      <c r="M90" s="10"/>
      <c r="N90" s="10"/>
      <c r="O90" s="10"/>
      <c r="P90" s="10"/>
      <c r="Q90" s="10"/>
      <c r="T90" s="9">
        <v>700</v>
      </c>
      <c r="U90" s="9">
        <v>700</v>
      </c>
      <c r="V90" s="10"/>
      <c r="W90" s="9">
        <f t="shared" si="39"/>
        <v>700</v>
      </c>
      <c r="AA90" s="9">
        <f t="shared" si="30"/>
        <v>700</v>
      </c>
      <c r="AD90" s="10">
        <f t="shared" si="31"/>
        <v>700</v>
      </c>
      <c r="AE90" s="10">
        <v>350</v>
      </c>
      <c r="AF90" s="10"/>
      <c r="AG90" s="10">
        <f t="shared" si="32"/>
        <v>350</v>
      </c>
      <c r="AH90" s="10"/>
      <c r="AI90" s="10"/>
      <c r="AJ90" s="10"/>
      <c r="AK90" s="10"/>
      <c r="AL90" s="10"/>
      <c r="AM90" s="10">
        <f>500+AE90-400</f>
        <v>450</v>
      </c>
      <c r="AN90" s="55">
        <v>2.66</v>
      </c>
      <c r="AO90" s="10">
        <f t="shared" si="40"/>
        <v>452.66</v>
      </c>
      <c r="AS90" s="9">
        <v>-150</v>
      </c>
      <c r="AT90" s="10">
        <f t="shared" si="20"/>
        <v>302.66</v>
      </c>
      <c r="AU90" s="10">
        <f>50</f>
        <v>50</v>
      </c>
      <c r="AV90" s="10">
        <f>AT90-AU90</f>
        <v>252.66000000000003</v>
      </c>
      <c r="AX90" s="10">
        <f>AW90+AU90</f>
        <v>50</v>
      </c>
      <c r="AZ90" s="10">
        <f t="shared" si="21"/>
        <v>50</v>
      </c>
      <c r="BA90" s="10">
        <v>50</v>
      </c>
      <c r="BB90" s="10"/>
      <c r="BC90" s="10"/>
      <c r="BD90" s="10">
        <f t="shared" si="22"/>
        <v>50</v>
      </c>
      <c r="BK90" s="9">
        <f t="shared" si="23"/>
        <v>0</v>
      </c>
      <c r="BM90" s="9">
        <f t="shared" si="24"/>
        <v>0</v>
      </c>
      <c r="BP90" s="9">
        <f t="shared" si="25"/>
        <v>0</v>
      </c>
      <c r="BS90" s="9">
        <f t="shared" si="26"/>
        <v>0</v>
      </c>
      <c r="BT90" s="9"/>
      <c r="BU90" s="9"/>
      <c r="BV90" s="9"/>
    </row>
    <row r="91" spans="2:74" ht="12.75">
      <c r="B91">
        <v>9650</v>
      </c>
      <c r="C91" s="38" t="s">
        <v>145</v>
      </c>
      <c r="H91" s="10"/>
      <c r="I91" s="10"/>
      <c r="K91" s="33"/>
      <c r="L91" s="10"/>
      <c r="M91" s="10"/>
      <c r="N91" s="10"/>
      <c r="O91"/>
      <c r="S91" s="9"/>
      <c r="T91" s="9">
        <v>700</v>
      </c>
      <c r="U91" s="9">
        <v>700</v>
      </c>
      <c r="W91" s="9">
        <f t="shared" si="39"/>
        <v>700</v>
      </c>
      <c r="AA91" s="9">
        <f t="shared" si="30"/>
        <v>700</v>
      </c>
      <c r="AD91" s="10">
        <f t="shared" si="31"/>
        <v>700</v>
      </c>
      <c r="AE91" s="10">
        <v>700</v>
      </c>
      <c r="AF91" s="10"/>
      <c r="AG91" s="10">
        <f t="shared" si="32"/>
        <v>0</v>
      </c>
      <c r="AH91" s="10"/>
      <c r="AI91" s="10"/>
      <c r="AJ91" s="10"/>
      <c r="AK91" s="10"/>
      <c r="AL91" s="10"/>
      <c r="AM91" s="10">
        <f>+AE91</f>
        <v>700</v>
      </c>
      <c r="AN91" s="55"/>
      <c r="AO91" s="10">
        <f t="shared" si="40"/>
        <v>700</v>
      </c>
      <c r="AT91" s="10">
        <f t="shared" si="20"/>
        <v>700</v>
      </c>
      <c r="AU91" s="10">
        <f>350+350</f>
        <v>700</v>
      </c>
      <c r="AX91" s="10">
        <f>AW91+AU91</f>
        <v>700</v>
      </c>
      <c r="AZ91" s="10">
        <f t="shared" si="21"/>
        <v>700</v>
      </c>
      <c r="BA91" s="10">
        <v>700</v>
      </c>
      <c r="BB91" s="10"/>
      <c r="BC91" s="10"/>
      <c r="BD91" s="10">
        <f t="shared" si="22"/>
        <v>700</v>
      </c>
      <c r="BF91" s="9">
        <v>153</v>
      </c>
      <c r="BK91" s="9">
        <f t="shared" si="23"/>
        <v>153</v>
      </c>
      <c r="BM91" s="9">
        <f t="shared" si="24"/>
        <v>153</v>
      </c>
      <c r="BP91" s="9">
        <f t="shared" si="25"/>
        <v>153</v>
      </c>
      <c r="BS91" s="9">
        <f t="shared" si="26"/>
        <v>0</v>
      </c>
      <c r="BT91" s="9"/>
      <c r="BU91" s="9"/>
      <c r="BV91" s="9"/>
    </row>
    <row r="92" spans="2:74" ht="12.75">
      <c r="B92">
        <v>9651</v>
      </c>
      <c r="C92" s="38" t="s">
        <v>146</v>
      </c>
      <c r="H92" s="10"/>
      <c r="I92" s="10"/>
      <c r="K92" s="33"/>
      <c r="L92" s="10"/>
      <c r="M92" s="10"/>
      <c r="N92" s="10"/>
      <c r="O92"/>
      <c r="S92" s="9"/>
      <c r="T92" s="9">
        <v>650</v>
      </c>
      <c r="U92" s="9">
        <v>650</v>
      </c>
      <c r="W92" s="9">
        <f t="shared" si="39"/>
        <v>650</v>
      </c>
      <c r="AA92" s="9">
        <f t="shared" si="30"/>
        <v>650</v>
      </c>
      <c r="AD92" s="10">
        <f t="shared" si="31"/>
        <v>650</v>
      </c>
      <c r="AE92" s="10">
        <v>350</v>
      </c>
      <c r="AF92" s="10"/>
      <c r="AG92" s="10">
        <f t="shared" si="32"/>
        <v>300</v>
      </c>
      <c r="AH92" s="10"/>
      <c r="AI92" s="10"/>
      <c r="AJ92" s="10"/>
      <c r="AK92" s="10"/>
      <c r="AL92" s="10"/>
      <c r="AM92" s="10">
        <f>+AE92</f>
        <v>350</v>
      </c>
      <c r="AN92" s="55"/>
      <c r="AO92" s="9">
        <f t="shared" si="40"/>
        <v>350</v>
      </c>
      <c r="AS92" s="9">
        <v>150</v>
      </c>
      <c r="AT92" s="10">
        <f t="shared" si="20"/>
        <v>500</v>
      </c>
      <c r="AU92" s="10">
        <v>489</v>
      </c>
      <c r="AV92" s="10">
        <f>AT92-AU92</f>
        <v>11</v>
      </c>
      <c r="AX92" s="10">
        <f>AW92+AU92</f>
        <v>489</v>
      </c>
      <c r="AZ92" s="10">
        <f t="shared" si="21"/>
        <v>489</v>
      </c>
      <c r="BA92" s="10">
        <v>489</v>
      </c>
      <c r="BB92" s="10"/>
      <c r="BC92" s="10"/>
      <c r="BD92" s="10">
        <f t="shared" si="22"/>
        <v>489</v>
      </c>
      <c r="BF92" s="9">
        <v>74</v>
      </c>
      <c r="BK92" s="9">
        <f t="shared" si="23"/>
        <v>74</v>
      </c>
      <c r="BM92" s="9">
        <f t="shared" si="24"/>
        <v>74</v>
      </c>
      <c r="BP92" s="9">
        <f t="shared" si="25"/>
        <v>74</v>
      </c>
      <c r="BS92" s="9">
        <f t="shared" si="26"/>
        <v>0</v>
      </c>
      <c r="BT92" s="9"/>
      <c r="BU92" s="9"/>
      <c r="BV92" s="9"/>
    </row>
    <row r="93" spans="2:74" ht="12.75" hidden="1">
      <c r="B93">
        <v>9652</v>
      </c>
      <c r="C93" s="38" t="s">
        <v>147</v>
      </c>
      <c r="H93" s="10"/>
      <c r="I93" s="10"/>
      <c r="K93" s="33"/>
      <c r="L93" s="10"/>
      <c r="M93" s="10"/>
      <c r="N93" s="10"/>
      <c r="O93"/>
      <c r="S93" s="9"/>
      <c r="T93" s="9">
        <v>350</v>
      </c>
      <c r="U93" s="9">
        <v>350</v>
      </c>
      <c r="W93" s="9">
        <f t="shared" si="39"/>
        <v>350</v>
      </c>
      <c r="AA93" s="9">
        <f t="shared" si="30"/>
        <v>350</v>
      </c>
      <c r="AD93" s="10">
        <f t="shared" si="31"/>
        <v>350</v>
      </c>
      <c r="AE93" s="10">
        <v>340</v>
      </c>
      <c r="AF93" s="10"/>
      <c r="AG93" s="10">
        <f t="shared" si="32"/>
        <v>10</v>
      </c>
      <c r="AH93" s="10"/>
      <c r="AI93" s="10"/>
      <c r="AJ93" s="10"/>
      <c r="AK93" s="10"/>
      <c r="AL93" s="10"/>
      <c r="AM93" s="10">
        <f>250+AE93+250</f>
        <v>840</v>
      </c>
      <c r="AN93" s="55"/>
      <c r="AO93" s="9">
        <f t="shared" si="40"/>
        <v>840</v>
      </c>
      <c r="AP93" s="9">
        <v>-840</v>
      </c>
      <c r="AT93" s="10">
        <f t="shared" si="20"/>
        <v>0</v>
      </c>
      <c r="AU93" s="10"/>
      <c r="AV93" s="10">
        <f>AT93-AU93</f>
        <v>0</v>
      </c>
      <c r="AX93" s="10"/>
      <c r="AZ93" s="10">
        <f t="shared" si="21"/>
        <v>0</v>
      </c>
      <c r="BA93" s="10"/>
      <c r="BB93" s="10"/>
      <c r="BC93" s="10"/>
      <c r="BD93" s="10">
        <f t="shared" si="22"/>
        <v>0</v>
      </c>
      <c r="BK93" s="9">
        <f t="shared" si="23"/>
        <v>0</v>
      </c>
      <c r="BM93" s="9">
        <f t="shared" si="24"/>
        <v>0</v>
      </c>
      <c r="BP93" s="9">
        <f t="shared" si="25"/>
        <v>0</v>
      </c>
      <c r="BS93" s="9">
        <f t="shared" si="26"/>
        <v>0</v>
      </c>
      <c r="BU93" s="9"/>
      <c r="BV93" s="9"/>
    </row>
    <row r="94" spans="3:74" ht="12.75" hidden="1">
      <c r="C94" s="38" t="s">
        <v>148</v>
      </c>
      <c r="H94" s="10"/>
      <c r="I94" s="10"/>
      <c r="K94" s="33"/>
      <c r="L94" s="10"/>
      <c r="M94" s="10"/>
      <c r="N94" s="10"/>
      <c r="O94"/>
      <c r="S94" s="9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55"/>
      <c r="AR94" s="9">
        <v>19</v>
      </c>
      <c r="AS94" s="9">
        <v>-19</v>
      </c>
      <c r="AT94" s="10">
        <f t="shared" si="20"/>
        <v>0</v>
      </c>
      <c r="AU94" s="10"/>
      <c r="AV94" s="10">
        <f>AT94-AU94</f>
        <v>0</v>
      </c>
      <c r="AX94" s="10"/>
      <c r="AZ94" s="10">
        <f t="shared" si="21"/>
        <v>0</v>
      </c>
      <c r="BA94" s="10"/>
      <c r="BB94" s="10"/>
      <c r="BC94" s="10"/>
      <c r="BD94" s="10">
        <f t="shared" si="22"/>
        <v>0</v>
      </c>
      <c r="BK94" s="9">
        <f t="shared" si="23"/>
        <v>0</v>
      </c>
      <c r="BM94" s="9">
        <f t="shared" si="24"/>
        <v>0</v>
      </c>
      <c r="BP94" s="9">
        <f t="shared" si="25"/>
        <v>0</v>
      </c>
      <c r="BS94" s="9">
        <f t="shared" si="26"/>
        <v>0</v>
      </c>
      <c r="BU94" s="9"/>
      <c r="BV94" s="9"/>
    </row>
    <row r="95" spans="2:74" ht="12.75">
      <c r="B95">
        <v>9653</v>
      </c>
      <c r="C95" s="38" t="s">
        <v>149</v>
      </c>
      <c r="H95" s="10"/>
      <c r="I95" s="10"/>
      <c r="K95" s="33"/>
      <c r="L95" s="10"/>
      <c r="M95" s="10"/>
      <c r="N95" s="10"/>
      <c r="O95" s="10"/>
      <c r="P95" s="10"/>
      <c r="Q95" s="10"/>
      <c r="T95" s="9">
        <v>750</v>
      </c>
      <c r="U95" s="9">
        <f>T95+P95</f>
        <v>750</v>
      </c>
      <c r="V95" s="10"/>
      <c r="W95" s="9">
        <f>U95+V95</f>
        <v>750</v>
      </c>
      <c r="AA95" s="9">
        <f>W95-Y95-Z95+X95</f>
        <v>750</v>
      </c>
      <c r="AB95" s="9">
        <v>-250</v>
      </c>
      <c r="AD95" s="9">
        <f>AA95+AB95+AC95</f>
        <v>500</v>
      </c>
      <c r="AE95" s="10">
        <v>71</v>
      </c>
      <c r="AG95" s="9">
        <f>AD95-AE95-AF95</f>
        <v>429</v>
      </c>
      <c r="AM95" s="10">
        <f>+AE95</f>
        <v>71</v>
      </c>
      <c r="AN95" s="55">
        <v>118.408</v>
      </c>
      <c r="AO95" s="9">
        <f>AM95+AN95</f>
        <v>189.40800000000002</v>
      </c>
      <c r="AT95" s="10">
        <f t="shared" si="20"/>
        <v>189.40800000000002</v>
      </c>
      <c r="AU95" s="10"/>
      <c r="AV95" s="10">
        <f>AT95-AU95</f>
        <v>189.40800000000002</v>
      </c>
      <c r="AX95" s="10"/>
      <c r="AY95" s="10">
        <v>82</v>
      </c>
      <c r="AZ95" s="10">
        <f t="shared" si="21"/>
        <v>82</v>
      </c>
      <c r="BA95" s="10">
        <v>82</v>
      </c>
      <c r="BB95" s="10"/>
      <c r="BC95" s="10"/>
      <c r="BD95" s="10">
        <f t="shared" si="22"/>
        <v>82</v>
      </c>
      <c r="BF95" s="9">
        <v>41</v>
      </c>
      <c r="BK95" s="9">
        <f t="shared" si="23"/>
        <v>41</v>
      </c>
      <c r="BM95" s="9">
        <f t="shared" si="24"/>
        <v>41</v>
      </c>
      <c r="BP95" s="9">
        <f t="shared" si="25"/>
        <v>41</v>
      </c>
      <c r="BS95" s="9">
        <f t="shared" si="26"/>
        <v>0</v>
      </c>
      <c r="BU95" s="9"/>
      <c r="BV95" s="9"/>
    </row>
    <row r="96" spans="3:71" ht="12.75" hidden="1">
      <c r="C96" s="38" t="s">
        <v>150</v>
      </c>
      <c r="G96" s="9">
        <v>35</v>
      </c>
      <c r="H96" s="10">
        <f>SUM(F96:G96)</f>
        <v>35</v>
      </c>
      <c r="I96" s="10">
        <v>35</v>
      </c>
      <c r="AT96" s="10">
        <f t="shared" si="20"/>
        <v>0</v>
      </c>
      <c r="AU96" s="10"/>
      <c r="AV96" s="10">
        <f>AT96-AU96</f>
        <v>0</v>
      </c>
      <c r="AX96" s="10">
        <f>AW96+AU96</f>
        <v>0</v>
      </c>
      <c r="AZ96" s="10">
        <f>AY96+AW96</f>
        <v>0</v>
      </c>
      <c r="BA96" s="10"/>
      <c r="BB96" s="10"/>
      <c r="BC96" s="10"/>
      <c r="BD96" s="10">
        <f t="shared" si="22"/>
        <v>0</v>
      </c>
      <c r="BK96" s="9">
        <f t="shared" si="23"/>
        <v>0</v>
      </c>
      <c r="BM96" s="9">
        <f t="shared" si="24"/>
        <v>0</v>
      </c>
      <c r="BP96" s="9">
        <f t="shared" si="25"/>
        <v>0</v>
      </c>
      <c r="BS96" s="9">
        <f t="shared" si="26"/>
        <v>0</v>
      </c>
    </row>
    <row r="97" spans="3:71" ht="12.75">
      <c r="C97" s="31" t="s">
        <v>306</v>
      </c>
      <c r="H97" s="10"/>
      <c r="I97" s="10"/>
      <c r="AT97" s="10"/>
      <c r="AU97" s="10"/>
      <c r="AX97" s="10"/>
      <c r="AZ97" s="10"/>
      <c r="BA97" s="10"/>
      <c r="BB97" s="10"/>
      <c r="BC97" s="10"/>
      <c r="BD97" s="10"/>
      <c r="BI97" s="9">
        <f>265+800</f>
        <v>1065</v>
      </c>
      <c r="BK97" s="9">
        <f t="shared" si="23"/>
        <v>1065</v>
      </c>
      <c r="BM97" s="9">
        <f>SUM(BK97:BL97)</f>
        <v>1065</v>
      </c>
      <c r="BP97" s="9">
        <f t="shared" si="25"/>
        <v>1065</v>
      </c>
      <c r="BS97" s="9">
        <f t="shared" si="26"/>
        <v>0</v>
      </c>
    </row>
    <row r="98" spans="3:71" s="9" customFormat="1" ht="12.75">
      <c r="C98" s="31" t="s">
        <v>151</v>
      </c>
      <c r="H98" s="10"/>
      <c r="I98" s="10"/>
      <c r="AN98" s="10"/>
      <c r="AT98" s="10"/>
      <c r="AU98" s="10"/>
      <c r="AV98" s="10"/>
      <c r="AX98" s="10"/>
      <c r="AY98" s="10"/>
      <c r="AZ98" s="10"/>
      <c r="BA98" s="10"/>
      <c r="BB98" s="10"/>
      <c r="BC98" s="10"/>
      <c r="BD98" s="10">
        <f t="shared" si="22"/>
        <v>0</v>
      </c>
      <c r="BK98" s="9">
        <f t="shared" si="23"/>
        <v>0</v>
      </c>
      <c r="BM98" s="9">
        <f t="shared" si="24"/>
        <v>0</v>
      </c>
      <c r="BP98" s="9">
        <f t="shared" si="25"/>
        <v>0</v>
      </c>
      <c r="BQ98" s="9">
        <v>200</v>
      </c>
      <c r="BS98" s="9">
        <f t="shared" si="26"/>
        <v>200</v>
      </c>
    </row>
    <row r="99" spans="3:74" s="9" customFormat="1" ht="12.75">
      <c r="C99" s="31" t="s">
        <v>152</v>
      </c>
      <c r="D99" s="31"/>
      <c r="E99" s="31"/>
      <c r="F99" s="31"/>
      <c r="G99" s="31"/>
      <c r="H99" s="32"/>
      <c r="I99" s="32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2"/>
      <c r="AO99" s="31"/>
      <c r="AP99" s="31"/>
      <c r="AQ99" s="31"/>
      <c r="AR99" s="31"/>
      <c r="AS99" s="31"/>
      <c r="AT99" s="32"/>
      <c r="AU99" s="32"/>
      <c r="AV99" s="32"/>
      <c r="AW99" s="31"/>
      <c r="AX99" s="32"/>
      <c r="AY99" s="32"/>
      <c r="AZ99" s="32"/>
      <c r="BA99" s="32"/>
      <c r="BB99" s="32"/>
      <c r="BC99" s="32"/>
      <c r="BD99" s="10">
        <f t="shared" si="22"/>
        <v>0</v>
      </c>
      <c r="BE99" s="31">
        <v>275</v>
      </c>
      <c r="BF99" s="31"/>
      <c r="BG99" s="31"/>
      <c r="BH99" s="31"/>
      <c r="BI99" s="31"/>
      <c r="BJ99" s="9">
        <v>195</v>
      </c>
      <c r="BK99" s="9">
        <f t="shared" si="23"/>
        <v>470</v>
      </c>
      <c r="BM99" s="9">
        <f t="shared" si="24"/>
        <v>470</v>
      </c>
      <c r="BN99" s="9">
        <v>-320</v>
      </c>
      <c r="BP99" s="9">
        <f t="shared" si="25"/>
        <v>150</v>
      </c>
      <c r="BQ99" s="31"/>
      <c r="BR99" s="31">
        <v>320</v>
      </c>
      <c r="BS99" s="9">
        <f t="shared" si="26"/>
        <v>320</v>
      </c>
      <c r="BT99" s="31"/>
      <c r="BU99" s="31"/>
      <c r="BV99" s="31"/>
    </row>
    <row r="100" spans="3:74" s="9" customFormat="1" ht="12.75">
      <c r="C100" s="31" t="s">
        <v>153</v>
      </c>
      <c r="D100" s="31"/>
      <c r="E100" s="31"/>
      <c r="F100" s="31"/>
      <c r="G100" s="31"/>
      <c r="H100" s="32"/>
      <c r="I100" s="32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2"/>
      <c r="AO100" s="31"/>
      <c r="AP100" s="31"/>
      <c r="AQ100" s="31"/>
      <c r="AR100" s="31"/>
      <c r="AS100" s="31"/>
      <c r="AT100" s="32"/>
      <c r="AU100" s="32"/>
      <c r="AV100" s="32"/>
      <c r="AW100" s="31"/>
      <c r="AX100" s="32"/>
      <c r="AY100" s="32"/>
      <c r="AZ100" s="32"/>
      <c r="BA100" s="32"/>
      <c r="BB100" s="32"/>
      <c r="BC100" s="32"/>
      <c r="BD100" s="10"/>
      <c r="BE100" s="31"/>
      <c r="BF100" s="31"/>
      <c r="BG100" s="31"/>
      <c r="BH100" s="31"/>
      <c r="BI100" s="31"/>
      <c r="BK100" s="9">
        <f t="shared" si="23"/>
        <v>0</v>
      </c>
      <c r="BM100" s="9">
        <f t="shared" si="24"/>
        <v>0</v>
      </c>
      <c r="BP100" s="9">
        <f t="shared" si="25"/>
        <v>0</v>
      </c>
      <c r="BQ100" s="31"/>
      <c r="BR100" s="31"/>
      <c r="BS100" s="9">
        <f t="shared" si="26"/>
        <v>0</v>
      </c>
      <c r="BT100" s="56"/>
      <c r="BU100" s="31"/>
      <c r="BV100" s="31"/>
    </row>
    <row r="101" spans="3:71" s="9" customFormat="1" ht="12.75">
      <c r="C101" s="31" t="s">
        <v>154</v>
      </c>
      <c r="H101" s="10"/>
      <c r="I101" s="10"/>
      <c r="K101" s="33"/>
      <c r="L101" s="10"/>
      <c r="N101" s="10"/>
      <c r="P101" s="10"/>
      <c r="Q101" s="10"/>
      <c r="U101" s="10"/>
      <c r="V101" s="10"/>
      <c r="AD101" s="10"/>
      <c r="AE101" s="10"/>
      <c r="AF101" s="10"/>
      <c r="AG101" s="10"/>
      <c r="AH101" s="10"/>
      <c r="AI101" s="10"/>
      <c r="AJ101" s="10"/>
      <c r="AK101" s="10"/>
      <c r="AL101" s="10"/>
      <c r="AN101" s="55"/>
      <c r="AT101" s="10"/>
      <c r="AU101" s="10"/>
      <c r="AV101" s="10"/>
      <c r="AX101" s="10"/>
      <c r="AY101" s="10"/>
      <c r="AZ101" s="10"/>
      <c r="BA101" s="10"/>
      <c r="BB101" s="10">
        <v>-1165</v>
      </c>
      <c r="BC101" s="10">
        <v>1165</v>
      </c>
      <c r="BD101" s="10">
        <f t="shared" si="22"/>
        <v>0</v>
      </c>
      <c r="BE101" s="9">
        <v>2900</v>
      </c>
      <c r="BK101" s="9">
        <f t="shared" si="23"/>
        <v>2900</v>
      </c>
      <c r="BM101" s="9">
        <f t="shared" si="24"/>
        <v>2900</v>
      </c>
      <c r="BN101" s="9">
        <v>-2900</v>
      </c>
      <c r="BP101" s="9">
        <f t="shared" si="25"/>
        <v>0</v>
      </c>
      <c r="BR101" s="9">
        <v>2900</v>
      </c>
      <c r="BS101" s="9">
        <f t="shared" si="26"/>
        <v>2900</v>
      </c>
    </row>
    <row r="102" spans="1:74" ht="12.75">
      <c r="A102" s="57"/>
      <c r="B102" s="57"/>
      <c r="C102" s="45" t="s">
        <v>105</v>
      </c>
      <c r="D102" s="58"/>
      <c r="E102" s="58"/>
      <c r="F102" s="58"/>
      <c r="G102" s="58"/>
      <c r="H102" s="50">
        <f>SUM(F102:G102)</f>
        <v>0</v>
      </c>
      <c r="I102" s="50"/>
      <c r="J102" s="50"/>
      <c r="K102" s="50"/>
      <c r="L102" s="50"/>
      <c r="M102" s="50"/>
      <c r="N102" s="50"/>
      <c r="O102" s="50"/>
      <c r="P102" s="50"/>
      <c r="Q102" s="50"/>
      <c r="R102" s="46"/>
      <c r="S102" s="46"/>
      <c r="T102" s="50">
        <f>-L129</f>
        <v>1074</v>
      </c>
      <c r="U102" s="50">
        <f>-M129</f>
        <v>0</v>
      </c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>
        <f>-AG129</f>
        <v>0</v>
      </c>
      <c r="AN102" s="50"/>
      <c r="AO102" s="50">
        <f>AM102</f>
        <v>0</v>
      </c>
      <c r="AP102" s="50"/>
      <c r="AQ102" s="50"/>
      <c r="AR102" s="50"/>
      <c r="AS102" s="50"/>
      <c r="AT102" s="50"/>
      <c r="AU102" s="50"/>
      <c r="AV102" s="50"/>
      <c r="AW102" s="50">
        <f>-AV129</f>
        <v>0</v>
      </c>
      <c r="AX102" s="50">
        <f>AW102</f>
        <v>0</v>
      </c>
      <c r="AY102" s="50"/>
      <c r="AZ102" s="50">
        <f>AY102</f>
        <v>0</v>
      </c>
      <c r="BA102" s="50"/>
      <c r="BB102" s="50"/>
      <c r="BC102" s="50"/>
      <c r="BD102" s="50"/>
      <c r="BE102" s="50">
        <f>BD129*-1</f>
        <v>0</v>
      </c>
      <c r="BF102" s="50"/>
      <c r="BG102" s="50"/>
      <c r="BH102" s="50"/>
      <c r="BI102" s="50"/>
      <c r="BJ102" s="50"/>
      <c r="BK102" s="50">
        <f>SUM(BG102:BH102)</f>
        <v>0</v>
      </c>
      <c r="BL102" s="50"/>
      <c r="BM102" s="50">
        <f>SUM(BJ102:BL102)</f>
        <v>0</v>
      </c>
      <c r="BN102" s="50"/>
      <c r="BO102" s="50"/>
      <c r="BP102" s="50">
        <f>SUM(BM102:BO102)</f>
        <v>0</v>
      </c>
      <c r="BQ102" s="50">
        <f>-BP129</f>
        <v>777.4000000000001</v>
      </c>
      <c r="BR102" s="50"/>
      <c r="BS102" s="50">
        <f>SUM(BQ102:BR102)</f>
        <v>777.4000000000001</v>
      </c>
      <c r="BT102" s="50">
        <f>-BS129</f>
        <v>1427.48</v>
      </c>
      <c r="BU102" s="50">
        <f>-BT129</f>
        <v>664.4960000000001</v>
      </c>
      <c r="BV102" s="50">
        <f>-BU129</f>
        <v>672.8992000000001</v>
      </c>
    </row>
    <row r="103" spans="3:74" ht="12.75">
      <c r="C103" s="38" t="s">
        <v>155</v>
      </c>
      <c r="F103" s="10">
        <f aca="true" t="shared" si="41" ref="F103:M103">SUM(F62:F102)</f>
        <v>10104</v>
      </c>
      <c r="G103" s="10">
        <f t="shared" si="41"/>
        <v>1193</v>
      </c>
      <c r="H103" s="10">
        <f t="shared" si="41"/>
        <v>11297</v>
      </c>
      <c r="I103" s="10">
        <f t="shared" si="41"/>
        <v>5378.035000000001</v>
      </c>
      <c r="J103" s="10">
        <f t="shared" si="41"/>
        <v>5369</v>
      </c>
      <c r="K103" s="10">
        <f t="shared" si="41"/>
        <v>2849</v>
      </c>
      <c r="L103" s="10">
        <f t="shared" si="41"/>
        <v>8218</v>
      </c>
      <c r="M103" s="10">
        <f t="shared" si="41"/>
        <v>8060</v>
      </c>
      <c r="N103" s="10"/>
      <c r="O103" s="10">
        <f>SUM(O62:O102)</f>
        <v>8060</v>
      </c>
      <c r="P103" s="10">
        <f>SUM(P62:P102)</f>
        <v>158</v>
      </c>
      <c r="Q103" s="10"/>
      <c r="T103" s="10">
        <f aca="true" t="shared" si="42" ref="T103:AH103">SUM(T62:T102)</f>
        <v>10864</v>
      </c>
      <c r="U103" s="10">
        <f t="shared" si="42"/>
        <v>9900</v>
      </c>
      <c r="V103" s="10">
        <f t="shared" si="42"/>
        <v>1403.5</v>
      </c>
      <c r="W103" s="10">
        <f t="shared" si="42"/>
        <v>11303.5</v>
      </c>
      <c r="X103" s="10">
        <f t="shared" si="42"/>
        <v>700</v>
      </c>
      <c r="Y103" s="10">
        <f t="shared" si="42"/>
        <v>0</v>
      </c>
      <c r="Z103" s="10">
        <f t="shared" si="42"/>
        <v>0</v>
      </c>
      <c r="AA103" s="10">
        <f t="shared" si="42"/>
        <v>12003.5</v>
      </c>
      <c r="AB103" s="10">
        <f t="shared" si="42"/>
        <v>-740</v>
      </c>
      <c r="AC103" s="10">
        <f t="shared" si="42"/>
        <v>0</v>
      </c>
      <c r="AD103" s="10">
        <f t="shared" si="42"/>
        <v>11263.5</v>
      </c>
      <c r="AE103" s="10">
        <f t="shared" si="42"/>
        <v>1861</v>
      </c>
      <c r="AF103" s="10">
        <f t="shared" si="42"/>
        <v>0</v>
      </c>
      <c r="AG103" s="10">
        <f t="shared" si="42"/>
        <v>9402.5</v>
      </c>
      <c r="AH103" s="10">
        <f t="shared" si="42"/>
        <v>-195</v>
      </c>
      <c r="AI103" s="10"/>
      <c r="AJ103" s="10"/>
      <c r="AK103" s="10"/>
      <c r="AL103" s="10"/>
      <c r="AM103" s="59">
        <f aca="true" t="shared" si="43" ref="AM103:BV103">SUM(AM62:AM102)</f>
        <v>6739</v>
      </c>
      <c r="AN103" s="59">
        <f t="shared" si="43"/>
        <v>1390.09</v>
      </c>
      <c r="AO103" s="10">
        <f t="shared" si="43"/>
        <v>8129.09</v>
      </c>
      <c r="AP103" s="59">
        <f t="shared" si="43"/>
        <v>610</v>
      </c>
      <c r="AQ103" s="10">
        <f t="shared" si="43"/>
        <v>0</v>
      </c>
      <c r="AR103" s="10">
        <f t="shared" si="43"/>
        <v>19</v>
      </c>
      <c r="AS103" s="10">
        <f t="shared" si="43"/>
        <v>-19</v>
      </c>
      <c r="AT103" s="10">
        <f t="shared" si="43"/>
        <v>8739.09</v>
      </c>
      <c r="AU103" s="10">
        <f t="shared" si="43"/>
        <v>2376</v>
      </c>
      <c r="AV103" s="10">
        <f t="shared" si="43"/>
        <v>6363.09</v>
      </c>
      <c r="AW103" s="10">
        <f t="shared" si="43"/>
        <v>2950</v>
      </c>
      <c r="AX103" s="10">
        <f t="shared" si="43"/>
        <v>4826</v>
      </c>
      <c r="AY103" s="10">
        <f t="shared" si="43"/>
        <v>463.55999999999995</v>
      </c>
      <c r="AZ103" s="10">
        <f t="shared" si="43"/>
        <v>5289.5599999999995</v>
      </c>
      <c r="BA103" s="10">
        <f t="shared" si="43"/>
        <v>5516</v>
      </c>
      <c r="BB103" s="10">
        <f t="shared" si="43"/>
        <v>-1820</v>
      </c>
      <c r="BC103" s="10">
        <f t="shared" si="43"/>
        <v>1165</v>
      </c>
      <c r="BD103" s="10">
        <f t="shared" si="43"/>
        <v>4861</v>
      </c>
      <c r="BE103" s="10">
        <f t="shared" si="43"/>
        <v>6324</v>
      </c>
      <c r="BF103" s="10">
        <f t="shared" si="43"/>
        <v>479</v>
      </c>
      <c r="BG103" s="10">
        <f t="shared" si="43"/>
        <v>0</v>
      </c>
      <c r="BH103" s="10">
        <f t="shared" si="43"/>
        <v>-91</v>
      </c>
      <c r="BI103" s="10">
        <f t="shared" si="43"/>
        <v>1155</v>
      </c>
      <c r="BJ103" s="10">
        <f t="shared" si="43"/>
        <v>245</v>
      </c>
      <c r="BK103" s="10">
        <f t="shared" si="43"/>
        <v>8112</v>
      </c>
      <c r="BL103" s="10">
        <f>SUM(BL62:BL102)</f>
        <v>-25</v>
      </c>
      <c r="BM103" s="10">
        <f>SUM(BM62:BM102)</f>
        <v>8087</v>
      </c>
      <c r="BN103" s="10">
        <f>SUM(BN62:BN102)</f>
        <v>-3890</v>
      </c>
      <c r="BO103" s="10">
        <f>SUM(BO62:BO102)</f>
        <v>0</v>
      </c>
      <c r="BP103" s="10">
        <f>SUM(BP62:BP102)</f>
        <v>4197</v>
      </c>
      <c r="BQ103" s="10">
        <f t="shared" si="43"/>
        <v>3247.4</v>
      </c>
      <c r="BR103" s="10">
        <f>SUM(BR62:BR102)</f>
        <v>3890</v>
      </c>
      <c r="BS103" s="10">
        <f>SUM(BS62:BS102)</f>
        <v>7137.4</v>
      </c>
      <c r="BT103" s="10">
        <f t="shared" si="43"/>
        <v>3322.48</v>
      </c>
      <c r="BU103" s="10">
        <f t="shared" si="43"/>
        <v>3364.496</v>
      </c>
      <c r="BV103" s="10">
        <f t="shared" si="43"/>
        <v>3022.8992</v>
      </c>
    </row>
    <row r="104" spans="3:74" ht="12.75">
      <c r="C104" s="38"/>
      <c r="H104" s="10"/>
      <c r="I104" s="10"/>
      <c r="BU104" s="9"/>
      <c r="BV104" s="9"/>
    </row>
    <row r="105" spans="2:56" ht="12.75" hidden="1">
      <c r="B105">
        <v>9991</v>
      </c>
      <c r="C105" s="38" t="s">
        <v>156</v>
      </c>
      <c r="G105" s="9">
        <v>51</v>
      </c>
      <c r="H105" s="10">
        <f>SUM(F105:G105)</f>
        <v>51</v>
      </c>
      <c r="I105" s="10">
        <f>51</f>
        <v>51</v>
      </c>
      <c r="K105" s="33">
        <v>12</v>
      </c>
      <c r="L105" s="10">
        <f>SUM(J105:K105)</f>
        <v>12</v>
      </c>
      <c r="M105" s="9">
        <f>L105-P105</f>
        <v>12</v>
      </c>
      <c r="O105" s="9">
        <f>M105+N105</f>
        <v>12</v>
      </c>
      <c r="P105" s="10"/>
      <c r="Q105" s="10"/>
      <c r="V105" s="10">
        <v>9.5</v>
      </c>
      <c r="W105" s="9">
        <f>U105+V105</f>
        <v>9.5</v>
      </c>
      <c r="AA105" s="9">
        <f>W105-Y105-Z105+X105</f>
        <v>9.5</v>
      </c>
      <c r="AD105" s="10">
        <f>AA105+AB105+AC105</f>
        <v>9.5</v>
      </c>
      <c r="AE105" s="10"/>
      <c r="AF105" s="10"/>
      <c r="AG105" s="10">
        <f>AD105-AE105-AF105</f>
        <v>9.5</v>
      </c>
      <c r="AH105" s="10">
        <v>9</v>
      </c>
      <c r="AI105" s="10"/>
      <c r="AJ105" s="10"/>
      <c r="AK105" s="10"/>
      <c r="AL105" s="10"/>
      <c r="AO105" s="9">
        <f aca="true" t="shared" si="44" ref="AO105:AO110">AM105+AN105</f>
        <v>0</v>
      </c>
      <c r="AT105" s="10">
        <f aca="true" t="shared" si="45" ref="AT105:AT110">SUM(AO105:AS105)</f>
        <v>0</v>
      </c>
      <c r="AU105" s="10"/>
      <c r="AV105" s="10">
        <f aca="true" t="shared" si="46" ref="AV105:AV110">AT105-AU105</f>
        <v>0</v>
      </c>
      <c r="AX105" s="10">
        <f>AW105+AU105</f>
        <v>0</v>
      </c>
      <c r="AZ105" s="10">
        <f>AY105+AW105</f>
        <v>0</v>
      </c>
      <c r="BA105" s="10"/>
      <c r="BB105" s="10"/>
      <c r="BC105" s="10"/>
      <c r="BD105" s="10"/>
    </row>
    <row r="106" spans="2:56" ht="12.75" hidden="1">
      <c r="B106">
        <v>9903</v>
      </c>
      <c r="C106" s="38" t="s">
        <v>157</v>
      </c>
      <c r="F106" s="9">
        <v>722</v>
      </c>
      <c r="G106" s="9">
        <v>284</v>
      </c>
      <c r="H106" s="10">
        <f>SUM(F106:G106)</f>
        <v>1006</v>
      </c>
      <c r="I106" s="10">
        <f>722+284</f>
        <v>1006</v>
      </c>
      <c r="K106" s="33">
        <v>389</v>
      </c>
      <c r="L106" s="10">
        <f>SUM(J106:K106)</f>
        <v>389</v>
      </c>
      <c r="M106" s="9">
        <f>L106-P106</f>
        <v>389</v>
      </c>
      <c r="O106" s="9">
        <f>M106+N106</f>
        <v>389</v>
      </c>
      <c r="P106" s="10"/>
      <c r="Q106" s="10"/>
      <c r="V106" s="10"/>
      <c r="W106" s="9">
        <f>U106+V106</f>
        <v>0</v>
      </c>
      <c r="AA106" s="9">
        <f>W106-Y106-Z106+X106</f>
        <v>0</v>
      </c>
      <c r="AD106" s="10">
        <f>AA106+AB106+AC106</f>
        <v>0</v>
      </c>
      <c r="AE106" s="10"/>
      <c r="AF106" s="10"/>
      <c r="AG106" s="10">
        <f>AD106-AE106-AF106</f>
        <v>0</v>
      </c>
      <c r="AH106" s="10"/>
      <c r="AI106" s="10"/>
      <c r="AJ106" s="10"/>
      <c r="AK106" s="10"/>
      <c r="AL106" s="10"/>
      <c r="AO106" s="9">
        <f t="shared" si="44"/>
        <v>0</v>
      </c>
      <c r="AT106" s="10">
        <f t="shared" si="45"/>
        <v>0</v>
      </c>
      <c r="AU106" s="10"/>
      <c r="AV106" s="10">
        <f t="shared" si="46"/>
        <v>0</v>
      </c>
      <c r="AX106" s="10">
        <f>AW106+AU106</f>
        <v>0</v>
      </c>
      <c r="AZ106" s="10">
        <f>AY106+AW106</f>
        <v>0</v>
      </c>
      <c r="BA106" s="10"/>
      <c r="BB106" s="10"/>
      <c r="BC106" s="10"/>
      <c r="BD106" s="10"/>
    </row>
    <row r="107" spans="2:71" ht="12.75">
      <c r="B107">
        <v>9559</v>
      </c>
      <c r="C107" s="38" t="s">
        <v>158</v>
      </c>
      <c r="F107" s="9">
        <v>216</v>
      </c>
      <c r="G107" s="9">
        <v>151</v>
      </c>
      <c r="H107" s="10">
        <f>SUM(F107:G107)</f>
        <v>367</v>
      </c>
      <c r="I107" s="10">
        <f>(100*1.03)+113+151</f>
        <v>367</v>
      </c>
      <c r="K107" s="33">
        <v>279</v>
      </c>
      <c r="L107" s="10">
        <f>SUM(J107:K107)</f>
        <v>279</v>
      </c>
      <c r="M107" s="9">
        <f>L107-P107</f>
        <v>89</v>
      </c>
      <c r="O107" s="9">
        <f>M107+N107</f>
        <v>89</v>
      </c>
      <c r="P107" s="10">
        <v>190</v>
      </c>
      <c r="Q107" s="10"/>
      <c r="U107" s="9">
        <f>T107+P107</f>
        <v>190</v>
      </c>
      <c r="V107" s="10">
        <v>67</v>
      </c>
      <c r="W107" s="9">
        <f>U107+V107</f>
        <v>257</v>
      </c>
      <c r="AA107" s="9">
        <f>W107-Y107-Z107+X107</f>
        <v>257</v>
      </c>
      <c r="AD107" s="10">
        <f>AA107+AB107+AC107</f>
        <v>257</v>
      </c>
      <c r="AE107" s="10"/>
      <c r="AF107" s="10"/>
      <c r="AG107" s="10">
        <f>AD107-AE107-AF107</f>
        <v>257</v>
      </c>
      <c r="AH107" s="10"/>
      <c r="AI107" s="10"/>
      <c r="AJ107" s="10"/>
      <c r="AK107" s="10"/>
      <c r="AL107" s="10"/>
      <c r="AN107" s="10">
        <v>194.134</v>
      </c>
      <c r="AO107" s="10">
        <f t="shared" si="44"/>
        <v>194.134</v>
      </c>
      <c r="AP107" s="10"/>
      <c r="AQ107" s="10"/>
      <c r="AR107" s="10"/>
      <c r="AS107" s="10"/>
      <c r="AT107" s="10">
        <f t="shared" si="45"/>
        <v>194.134</v>
      </c>
      <c r="AU107" s="10">
        <f>50+124</f>
        <v>174</v>
      </c>
      <c r="AV107" s="10">
        <f t="shared" si="46"/>
        <v>20.133999999999986</v>
      </c>
      <c r="AW107" s="60">
        <v>25</v>
      </c>
      <c r="AX107" s="10">
        <f>AW107+AU107</f>
        <v>199</v>
      </c>
      <c r="AY107" s="10">
        <v>15</v>
      </c>
      <c r="AZ107" s="10">
        <f>AX107+AY107</f>
        <v>214</v>
      </c>
      <c r="BA107" s="10">
        <v>214</v>
      </c>
      <c r="BB107" s="10"/>
      <c r="BC107" s="10"/>
      <c r="BD107" s="10">
        <f aca="true" t="shared" si="47" ref="BD107:BD112">BA107+BB107+BC107</f>
        <v>214</v>
      </c>
      <c r="BF107" s="9">
        <v>178</v>
      </c>
      <c r="BK107" s="9">
        <f>SUM(BE107:BJ107)</f>
        <v>178</v>
      </c>
      <c r="BM107" s="10">
        <f>SUM(BK107:BL107)</f>
        <v>178</v>
      </c>
      <c r="BN107" s="10">
        <v>-100</v>
      </c>
      <c r="BO107" s="10"/>
      <c r="BP107" s="10">
        <f>SUM(BM107:BO107)</f>
        <v>78</v>
      </c>
      <c r="BR107" s="9">
        <v>100</v>
      </c>
      <c r="BS107" s="9">
        <f>SUM(BQ107:BR107)</f>
        <v>100</v>
      </c>
    </row>
    <row r="108" spans="2:71" ht="12.75">
      <c r="B108">
        <v>9657</v>
      </c>
      <c r="C108" s="38" t="s">
        <v>159</v>
      </c>
      <c r="H108" s="10"/>
      <c r="I108" s="10"/>
      <c r="K108" s="33"/>
      <c r="L108" s="10"/>
      <c r="P108" s="10"/>
      <c r="Q108" s="10"/>
      <c r="V108" s="10"/>
      <c r="AD108" s="10"/>
      <c r="AE108" s="10"/>
      <c r="AF108" s="10"/>
      <c r="AG108" s="10"/>
      <c r="AH108" s="10"/>
      <c r="AI108" s="10"/>
      <c r="AJ108" s="10"/>
      <c r="AK108" s="10"/>
      <c r="AL108" s="10"/>
      <c r="AN108" s="10">
        <f>22+128</f>
        <v>150</v>
      </c>
      <c r="AO108" s="10">
        <f t="shared" si="44"/>
        <v>150</v>
      </c>
      <c r="AP108" s="10"/>
      <c r="AQ108" s="10"/>
      <c r="AR108" s="10"/>
      <c r="AS108" s="10"/>
      <c r="AT108" s="10">
        <f t="shared" si="45"/>
        <v>150</v>
      </c>
      <c r="AU108" s="10"/>
      <c r="AV108" s="10">
        <f t="shared" si="46"/>
        <v>150</v>
      </c>
      <c r="AX108" s="10"/>
      <c r="AY108" s="10">
        <v>34</v>
      </c>
      <c r="AZ108" s="10">
        <f>AX108+AY108</f>
        <v>34</v>
      </c>
      <c r="BA108" s="10">
        <v>34</v>
      </c>
      <c r="BB108" s="10"/>
      <c r="BC108" s="10"/>
      <c r="BD108" s="10">
        <f t="shared" si="47"/>
        <v>34</v>
      </c>
      <c r="BF108" s="9">
        <v>27</v>
      </c>
      <c r="BK108" s="9">
        <f>SUM(BE108:BJ108)</f>
        <v>27</v>
      </c>
      <c r="BM108" s="10">
        <f>SUM(BK108:BL108)</f>
        <v>27</v>
      </c>
      <c r="BN108" s="10"/>
      <c r="BO108" s="10"/>
      <c r="BP108" s="10">
        <f>SUM(BM108:BO108)</f>
        <v>27</v>
      </c>
      <c r="BS108" s="9">
        <f>SUM(BQ108:BR108)</f>
        <v>0</v>
      </c>
    </row>
    <row r="109" spans="2:71" ht="12.75">
      <c r="B109" s="51" t="s">
        <v>160</v>
      </c>
      <c r="C109" s="38" t="s">
        <v>161</v>
      </c>
      <c r="H109" s="10"/>
      <c r="I109" s="10"/>
      <c r="K109" s="33"/>
      <c r="L109" s="10"/>
      <c r="P109" s="10"/>
      <c r="Q109" s="10"/>
      <c r="V109" s="10">
        <f>60+72</f>
        <v>132</v>
      </c>
      <c r="W109" s="9">
        <f>U109+V109</f>
        <v>132</v>
      </c>
      <c r="AA109" s="9">
        <f>W109-Y109-Z109+X109</f>
        <v>132</v>
      </c>
      <c r="AD109" s="10">
        <f>AA109+AB109+AC109</f>
        <v>132</v>
      </c>
      <c r="AE109" s="10"/>
      <c r="AF109" s="10"/>
      <c r="AG109" s="10">
        <f>AD109-AE109-AF109</f>
        <v>132</v>
      </c>
      <c r="AH109" s="10">
        <v>745</v>
      </c>
      <c r="AI109" s="10"/>
      <c r="AJ109" s="10"/>
      <c r="AK109" s="10"/>
      <c r="AL109" s="10"/>
      <c r="AN109" s="10">
        <v>252.76878</v>
      </c>
      <c r="AO109" s="10">
        <f t="shared" si="44"/>
        <v>252.76878</v>
      </c>
      <c r="AP109" s="10"/>
      <c r="AQ109" s="10"/>
      <c r="AR109" s="10">
        <v>15.213</v>
      </c>
      <c r="AS109" s="10">
        <f>8.76-15.213-28-8.76</f>
        <v>-43.213</v>
      </c>
      <c r="AT109" s="10">
        <f t="shared" si="45"/>
        <v>224.76878000000002</v>
      </c>
      <c r="AU109" s="10"/>
      <c r="AV109" s="10">
        <f t="shared" si="46"/>
        <v>224.76878000000002</v>
      </c>
      <c r="AX109" s="10"/>
      <c r="AY109" s="10">
        <f>22.03557+136</f>
        <v>158.03557</v>
      </c>
      <c r="AZ109" s="10">
        <f>AX109+AY109</f>
        <v>158.03557</v>
      </c>
      <c r="BA109" s="10">
        <v>158</v>
      </c>
      <c r="BB109" s="10"/>
      <c r="BC109" s="10"/>
      <c r="BD109" s="10">
        <f t="shared" si="47"/>
        <v>158</v>
      </c>
      <c r="BF109" s="9">
        <f>136+45+117</f>
        <v>298</v>
      </c>
      <c r="BG109" s="9">
        <f>100-6</f>
        <v>94</v>
      </c>
      <c r="BH109" s="9">
        <v>-6</v>
      </c>
      <c r="BK109" s="9">
        <f>SUM(BE109:BJ109)</f>
        <v>386</v>
      </c>
      <c r="BM109" s="10">
        <f>SUM(BK109:BL109)</f>
        <v>386</v>
      </c>
      <c r="BN109" s="10"/>
      <c r="BO109" s="10"/>
      <c r="BP109" s="10">
        <f>SUM(BM109:BO109)</f>
        <v>386</v>
      </c>
      <c r="BS109" s="9">
        <f>SUM(BQ109:BR109)</f>
        <v>0</v>
      </c>
    </row>
    <row r="110" spans="2:74" ht="12.75">
      <c r="B110" s="61" t="s">
        <v>162</v>
      </c>
      <c r="C110" s="38" t="s">
        <v>163</v>
      </c>
      <c r="D110" s="46"/>
      <c r="E110" s="46"/>
      <c r="F110" s="47"/>
      <c r="G110" s="47">
        <f>6+8+1</f>
        <v>15</v>
      </c>
      <c r="H110" s="49">
        <f>SUM(F110:G110)</f>
        <v>15</v>
      </c>
      <c r="I110" s="49">
        <f>8+6+8+6</f>
        <v>28</v>
      </c>
      <c r="J110" s="47"/>
      <c r="K110" s="48">
        <v>14</v>
      </c>
      <c r="L110" s="49">
        <f>SUM(J110:K110)</f>
        <v>14</v>
      </c>
      <c r="M110" s="47">
        <f>L110-P110</f>
        <v>14</v>
      </c>
      <c r="N110" s="47"/>
      <c r="O110" s="47">
        <f>M110+N110</f>
        <v>14</v>
      </c>
      <c r="P110" s="49"/>
      <c r="Q110" s="49"/>
      <c r="R110" s="46"/>
      <c r="S110" s="46"/>
      <c r="T110" s="47"/>
      <c r="U110" s="47"/>
      <c r="V110" s="49">
        <f>7+30+60+25</f>
        <v>122</v>
      </c>
      <c r="W110" s="47">
        <f>U110+V110</f>
        <v>122</v>
      </c>
      <c r="X110" s="47"/>
      <c r="Y110" s="47"/>
      <c r="Z110" s="47"/>
      <c r="AA110" s="47">
        <f>W110-Y110-Z110+X110</f>
        <v>122</v>
      </c>
      <c r="AB110" s="47"/>
      <c r="AC110" s="47"/>
      <c r="AD110" s="49">
        <f>AA110+AB110+AC110</f>
        <v>122</v>
      </c>
      <c r="AE110" s="49"/>
      <c r="AF110" s="49"/>
      <c r="AG110" s="49">
        <f>AD110-AE110-AF110</f>
        <v>122</v>
      </c>
      <c r="AH110" s="49">
        <v>32</v>
      </c>
      <c r="AI110" s="49"/>
      <c r="AJ110" s="49"/>
      <c r="AK110" s="49"/>
      <c r="AL110" s="49"/>
      <c r="AM110" s="49"/>
      <c r="AN110" s="49">
        <v>5.14</v>
      </c>
      <c r="AO110" s="49">
        <f t="shared" si="44"/>
        <v>5.14</v>
      </c>
      <c r="AP110" s="49"/>
      <c r="AQ110" s="49"/>
      <c r="AR110" s="49"/>
      <c r="AS110" s="49">
        <f>-1.3+27</f>
        <v>25.7</v>
      </c>
      <c r="AT110" s="49">
        <f t="shared" si="45"/>
        <v>30.84</v>
      </c>
      <c r="AU110" s="49"/>
      <c r="AV110" s="49">
        <f t="shared" si="46"/>
        <v>30.84</v>
      </c>
      <c r="AW110" s="47"/>
      <c r="AX110" s="49"/>
      <c r="AY110" s="49">
        <v>2.87</v>
      </c>
      <c r="AZ110" s="49">
        <f>AX110+AY110</f>
        <v>2.87</v>
      </c>
      <c r="BA110" s="49">
        <v>3</v>
      </c>
      <c r="BB110" s="49"/>
      <c r="BC110" s="49"/>
      <c r="BD110" s="49">
        <f t="shared" si="47"/>
        <v>3</v>
      </c>
      <c r="BE110" s="47"/>
      <c r="BF110" s="47"/>
      <c r="BG110" s="47"/>
      <c r="BH110" s="47"/>
      <c r="BI110" s="47"/>
      <c r="BJ110" s="47"/>
      <c r="BK110" s="47">
        <f>SUM(BE110:BJ110)</f>
        <v>0</v>
      </c>
      <c r="BL110" s="47"/>
      <c r="BM110" s="49">
        <f>SUM(BK110:BL110)</f>
        <v>0</v>
      </c>
      <c r="BN110" s="49"/>
      <c r="BO110" s="49"/>
      <c r="BP110" s="49">
        <f>SUM(BM110:BO110)</f>
        <v>0</v>
      </c>
      <c r="BQ110" s="47"/>
      <c r="BR110" s="47"/>
      <c r="BS110" s="47">
        <f>SUM(BQ110:BR110)</f>
        <v>0</v>
      </c>
      <c r="BT110" s="46"/>
      <c r="BU110" s="46"/>
      <c r="BV110" s="46"/>
    </row>
    <row r="111" spans="2:68" ht="12.75" hidden="1">
      <c r="B111">
        <v>9632</v>
      </c>
      <c r="C111" s="38" t="s">
        <v>164</v>
      </c>
      <c r="H111" s="10"/>
      <c r="I111" s="10"/>
      <c r="K111" s="33">
        <v>20</v>
      </c>
      <c r="L111" s="10">
        <f>SUM(J111:K111)</f>
        <v>20</v>
      </c>
      <c r="M111" s="9">
        <f>L111-P111</f>
        <v>20</v>
      </c>
      <c r="O111" s="9">
        <f>M111+N111</f>
        <v>20</v>
      </c>
      <c r="P111" s="10"/>
      <c r="Q111" s="10"/>
      <c r="V111" s="10"/>
      <c r="AD111" s="10"/>
      <c r="AE111" s="10"/>
      <c r="AF111" s="10"/>
      <c r="AG111" s="10"/>
      <c r="AH111" s="10"/>
      <c r="AI111" s="10"/>
      <c r="AJ111" s="10"/>
      <c r="AK111" s="10"/>
      <c r="AL111" s="10"/>
      <c r="BD111" s="10">
        <f t="shared" si="47"/>
        <v>0</v>
      </c>
      <c r="BM111" s="10">
        <f>SUM(BJ111:BL111)</f>
        <v>0</v>
      </c>
      <c r="BN111" s="10"/>
      <c r="BO111" s="10"/>
      <c r="BP111" s="10"/>
    </row>
    <row r="112" spans="2:68" ht="12.75" hidden="1">
      <c r="B112">
        <v>9627</v>
      </c>
      <c r="C112" s="38" t="s">
        <v>165</v>
      </c>
      <c r="F112" s="9">
        <v>0</v>
      </c>
      <c r="G112" s="9">
        <v>90</v>
      </c>
      <c r="H112" s="10">
        <f>SUM(F112:G112)</f>
        <v>90</v>
      </c>
      <c r="I112" s="10">
        <v>90</v>
      </c>
      <c r="K112" s="33">
        <v>147</v>
      </c>
      <c r="L112" s="10">
        <f>SUM(J112:K112)</f>
        <v>147</v>
      </c>
      <c r="M112" s="9">
        <f>L112-P112</f>
        <v>147</v>
      </c>
      <c r="O112" s="9">
        <f>M112+N112</f>
        <v>147</v>
      </c>
      <c r="P112" s="10"/>
      <c r="Q112" s="10"/>
      <c r="V112" s="10"/>
      <c r="AD112" s="10"/>
      <c r="AE112" s="10"/>
      <c r="AF112" s="10"/>
      <c r="AG112" s="10"/>
      <c r="AH112" s="10"/>
      <c r="AI112" s="10"/>
      <c r="AJ112" s="10"/>
      <c r="AK112" s="10"/>
      <c r="AL112" s="10"/>
      <c r="BD112" s="10">
        <f t="shared" si="47"/>
        <v>0</v>
      </c>
      <c r="BM112" s="10">
        <f>SUM(BJ112:BL112)</f>
        <v>0</v>
      </c>
      <c r="BN112" s="10"/>
      <c r="BO112" s="10"/>
      <c r="BP112" s="10"/>
    </row>
    <row r="113" spans="3:74" ht="12.75">
      <c r="C113" s="38" t="s">
        <v>166</v>
      </c>
      <c r="F113" s="10">
        <f aca="true" t="shared" si="48" ref="F113:M113">SUM(F105:F112)</f>
        <v>938</v>
      </c>
      <c r="G113" s="10">
        <f t="shared" si="48"/>
        <v>591</v>
      </c>
      <c r="H113" s="10">
        <f t="shared" si="48"/>
        <v>1529</v>
      </c>
      <c r="I113" s="10">
        <f t="shared" si="48"/>
        <v>1542</v>
      </c>
      <c r="J113" s="10">
        <f t="shared" si="48"/>
        <v>0</v>
      </c>
      <c r="K113" s="10">
        <f t="shared" si="48"/>
        <v>861</v>
      </c>
      <c r="L113" s="10">
        <f t="shared" si="48"/>
        <v>861</v>
      </c>
      <c r="M113" s="10">
        <f t="shared" si="48"/>
        <v>671</v>
      </c>
      <c r="N113" s="10"/>
      <c r="O113" s="9">
        <f>M113+N113</f>
        <v>671</v>
      </c>
      <c r="P113" s="10">
        <f>SUM(P105:P112)</f>
        <v>190</v>
      </c>
      <c r="Q113" s="10"/>
      <c r="T113" s="10">
        <f aca="true" t="shared" si="49" ref="T113:AH113">SUM(T105:T112)</f>
        <v>0</v>
      </c>
      <c r="U113" s="10">
        <f t="shared" si="49"/>
        <v>190</v>
      </c>
      <c r="V113" s="10">
        <f t="shared" si="49"/>
        <v>330.5</v>
      </c>
      <c r="W113" s="10">
        <f t="shared" si="49"/>
        <v>520.5</v>
      </c>
      <c r="X113" s="10">
        <f t="shared" si="49"/>
        <v>0</v>
      </c>
      <c r="Y113" s="10">
        <f t="shared" si="49"/>
        <v>0</v>
      </c>
      <c r="Z113" s="10">
        <f t="shared" si="49"/>
        <v>0</v>
      </c>
      <c r="AA113" s="10">
        <f t="shared" si="49"/>
        <v>520.5</v>
      </c>
      <c r="AB113" s="10">
        <f t="shared" si="49"/>
        <v>0</v>
      </c>
      <c r="AC113" s="10">
        <f t="shared" si="49"/>
        <v>0</v>
      </c>
      <c r="AD113" s="10">
        <f t="shared" si="49"/>
        <v>520.5</v>
      </c>
      <c r="AE113" s="10">
        <f t="shared" si="49"/>
        <v>0</v>
      </c>
      <c r="AF113" s="10">
        <f t="shared" si="49"/>
        <v>0</v>
      </c>
      <c r="AG113" s="10">
        <f t="shared" si="49"/>
        <v>520.5</v>
      </c>
      <c r="AH113" s="10">
        <f t="shared" si="49"/>
        <v>786</v>
      </c>
      <c r="AI113" s="10"/>
      <c r="AJ113" s="10"/>
      <c r="AK113" s="10"/>
      <c r="AL113" s="10"/>
      <c r="AM113" s="10">
        <f aca="true" t="shared" si="50" ref="AM113:AZ113">SUM(AM105:AM112)</f>
        <v>0</v>
      </c>
      <c r="AN113" s="10">
        <f t="shared" si="50"/>
        <v>602.04278</v>
      </c>
      <c r="AO113" s="10">
        <f t="shared" si="50"/>
        <v>602.04278</v>
      </c>
      <c r="AP113" s="10">
        <f t="shared" si="50"/>
        <v>0</v>
      </c>
      <c r="AQ113" s="10">
        <f t="shared" si="50"/>
        <v>0</v>
      </c>
      <c r="AR113" s="10">
        <f t="shared" si="50"/>
        <v>15.213</v>
      </c>
      <c r="AS113" s="10">
        <f t="shared" si="50"/>
        <v>-17.513</v>
      </c>
      <c r="AT113" s="10">
        <f t="shared" si="50"/>
        <v>599.74278</v>
      </c>
      <c r="AU113" s="10">
        <f t="shared" si="50"/>
        <v>174</v>
      </c>
      <c r="AV113" s="10">
        <f t="shared" si="50"/>
        <v>425.74278</v>
      </c>
      <c r="AW113" s="10">
        <f t="shared" si="50"/>
        <v>25</v>
      </c>
      <c r="AX113" s="10">
        <f t="shared" si="50"/>
        <v>199</v>
      </c>
      <c r="AY113" s="10">
        <f t="shared" si="50"/>
        <v>209.90557</v>
      </c>
      <c r="AZ113" s="10">
        <f t="shared" si="50"/>
        <v>408.90557</v>
      </c>
      <c r="BA113" s="10">
        <f>SUM(BA107:BA110)</f>
        <v>409</v>
      </c>
      <c r="BB113" s="10">
        <f>SUM(BB107:BB110)</f>
        <v>0</v>
      </c>
      <c r="BC113" s="10">
        <f>SUM(BC107:BC110)</f>
        <v>0</v>
      </c>
      <c r="BD113" s="10">
        <f>SUM(BD107:BD112)</f>
        <v>409</v>
      </c>
      <c r="BE113" s="10">
        <f aca="true" t="shared" si="51" ref="BE113:BV113">SUM(BE105:BE112)</f>
        <v>0</v>
      </c>
      <c r="BF113" s="10">
        <f t="shared" si="51"/>
        <v>503</v>
      </c>
      <c r="BG113" s="10">
        <f t="shared" si="51"/>
        <v>94</v>
      </c>
      <c r="BH113" s="10">
        <f t="shared" si="51"/>
        <v>-6</v>
      </c>
      <c r="BI113" s="10">
        <f t="shared" si="51"/>
        <v>0</v>
      </c>
      <c r="BJ113" s="10">
        <f t="shared" si="51"/>
        <v>0</v>
      </c>
      <c r="BK113" s="10">
        <f t="shared" si="51"/>
        <v>591</v>
      </c>
      <c r="BL113" s="10">
        <f>SUM(BL105:BL112)</f>
        <v>0</v>
      </c>
      <c r="BM113" s="10">
        <f>SUM(BM105:BM112)</f>
        <v>591</v>
      </c>
      <c r="BN113" s="10">
        <f>SUM(BN105:BN112)</f>
        <v>-100</v>
      </c>
      <c r="BO113" s="10">
        <f>SUM(BO105:BO112)</f>
        <v>0</v>
      </c>
      <c r="BP113" s="10">
        <f>SUM(BP105:BP112)</f>
        <v>491</v>
      </c>
      <c r="BQ113" s="10">
        <f t="shared" si="51"/>
        <v>0</v>
      </c>
      <c r="BR113" s="10">
        <f>SUM(BR105:BR112)</f>
        <v>100</v>
      </c>
      <c r="BS113" s="10">
        <f>SUM(BS105:BS112)</f>
        <v>100</v>
      </c>
      <c r="BT113" s="10">
        <f t="shared" si="51"/>
        <v>0</v>
      </c>
      <c r="BU113" s="10">
        <f t="shared" si="51"/>
        <v>0</v>
      </c>
      <c r="BV113" s="10">
        <f t="shared" si="51"/>
        <v>0</v>
      </c>
    </row>
    <row r="114" spans="3:72" ht="12.75">
      <c r="C114" s="38"/>
      <c r="H114" s="10"/>
      <c r="I114" s="10"/>
      <c r="AD114" s="10"/>
      <c r="AE114" s="10"/>
      <c r="AF114" s="10"/>
      <c r="AG114" s="10"/>
      <c r="AH114" s="10"/>
      <c r="AI114" s="10"/>
      <c r="AJ114" s="10"/>
      <c r="AK114" s="10"/>
      <c r="AL114" s="10"/>
      <c r="BT114" s="9"/>
    </row>
    <row r="115" spans="1:74" ht="12.75">
      <c r="A115" s="1"/>
      <c r="B115" s="1"/>
      <c r="C115" s="44" t="s">
        <v>167</v>
      </c>
      <c r="D115" s="52"/>
      <c r="E115" s="52"/>
      <c r="F115" s="53">
        <f aca="true" t="shared" si="52" ref="F115:M115">+F113+F103</f>
        <v>11042</v>
      </c>
      <c r="G115" s="53">
        <f t="shared" si="52"/>
        <v>1784</v>
      </c>
      <c r="H115" s="53">
        <f t="shared" si="52"/>
        <v>12826</v>
      </c>
      <c r="I115" s="53">
        <f t="shared" si="52"/>
        <v>6920.035000000001</v>
      </c>
      <c r="J115" s="53">
        <f t="shared" si="52"/>
        <v>5369</v>
      </c>
      <c r="K115" s="53">
        <f t="shared" si="52"/>
        <v>3710</v>
      </c>
      <c r="L115" s="53">
        <f t="shared" si="52"/>
        <v>9079</v>
      </c>
      <c r="M115" s="53">
        <f t="shared" si="52"/>
        <v>8731</v>
      </c>
      <c r="N115" s="53"/>
      <c r="O115" s="53">
        <f>+O113+O103</f>
        <v>8731</v>
      </c>
      <c r="P115" s="53">
        <f>+P113+P103</f>
        <v>348</v>
      </c>
      <c r="Q115" s="53"/>
      <c r="R115" s="54"/>
      <c r="S115" s="54"/>
      <c r="T115" s="53">
        <f aca="true" t="shared" si="53" ref="T115:AH115">+T113+T103</f>
        <v>10864</v>
      </c>
      <c r="U115" s="53">
        <f t="shared" si="53"/>
        <v>10090</v>
      </c>
      <c r="V115" s="53">
        <f t="shared" si="53"/>
        <v>1734</v>
      </c>
      <c r="W115" s="53">
        <f t="shared" si="53"/>
        <v>11824</v>
      </c>
      <c r="X115" s="53">
        <f t="shared" si="53"/>
        <v>700</v>
      </c>
      <c r="Y115" s="53">
        <f t="shared" si="53"/>
        <v>0</v>
      </c>
      <c r="Z115" s="53">
        <f t="shared" si="53"/>
        <v>0</v>
      </c>
      <c r="AA115" s="53">
        <f t="shared" si="53"/>
        <v>12524</v>
      </c>
      <c r="AB115" s="53">
        <f t="shared" si="53"/>
        <v>-740</v>
      </c>
      <c r="AC115" s="53">
        <f t="shared" si="53"/>
        <v>0</v>
      </c>
      <c r="AD115" s="53">
        <f t="shared" si="53"/>
        <v>11784</v>
      </c>
      <c r="AE115" s="53">
        <f t="shared" si="53"/>
        <v>1861</v>
      </c>
      <c r="AF115" s="53">
        <f t="shared" si="53"/>
        <v>0</v>
      </c>
      <c r="AG115" s="53">
        <f t="shared" si="53"/>
        <v>9923</v>
      </c>
      <c r="AH115" s="53">
        <f t="shared" si="53"/>
        <v>591</v>
      </c>
      <c r="AI115" s="53"/>
      <c r="AJ115" s="53"/>
      <c r="AK115" s="53"/>
      <c r="AL115" s="53"/>
      <c r="AM115" s="53">
        <f aca="true" t="shared" si="54" ref="AM115:AZ115">+AM113+AM103</f>
        <v>6739</v>
      </c>
      <c r="AN115" s="53">
        <f t="shared" si="54"/>
        <v>1992.13278</v>
      </c>
      <c r="AO115" s="53">
        <f t="shared" si="54"/>
        <v>8731.13278</v>
      </c>
      <c r="AP115" s="53">
        <f t="shared" si="54"/>
        <v>610</v>
      </c>
      <c r="AQ115" s="53">
        <f t="shared" si="54"/>
        <v>0</v>
      </c>
      <c r="AR115" s="53">
        <f t="shared" si="54"/>
        <v>34.213</v>
      </c>
      <c r="AS115" s="53">
        <f t="shared" si="54"/>
        <v>-36.513000000000005</v>
      </c>
      <c r="AT115" s="53">
        <f t="shared" si="54"/>
        <v>9338.83278</v>
      </c>
      <c r="AU115" s="53">
        <f t="shared" si="54"/>
        <v>2550</v>
      </c>
      <c r="AV115" s="53">
        <f t="shared" si="54"/>
        <v>6788.83278</v>
      </c>
      <c r="AW115" s="53">
        <f t="shared" si="54"/>
        <v>2975</v>
      </c>
      <c r="AX115" s="53">
        <f t="shared" si="54"/>
        <v>5025</v>
      </c>
      <c r="AY115" s="53">
        <f t="shared" si="54"/>
        <v>673.46557</v>
      </c>
      <c r="AZ115" s="53">
        <f t="shared" si="54"/>
        <v>5698.465569999999</v>
      </c>
      <c r="BA115" s="53">
        <f>BA113+BA103</f>
        <v>5925</v>
      </c>
      <c r="BB115" s="53">
        <f>BB113+BB103</f>
        <v>-1820</v>
      </c>
      <c r="BC115" s="53">
        <f>BC113+BC103</f>
        <v>1165</v>
      </c>
      <c r="BD115" s="53">
        <f>BD113+BD103</f>
        <v>5270</v>
      </c>
      <c r="BE115" s="53">
        <f aca="true" t="shared" si="55" ref="BE115:BV115">+BE113+BE103</f>
        <v>6324</v>
      </c>
      <c r="BF115" s="53">
        <f t="shared" si="55"/>
        <v>982</v>
      </c>
      <c r="BG115" s="53">
        <f t="shared" si="55"/>
        <v>94</v>
      </c>
      <c r="BH115" s="53">
        <f t="shared" si="55"/>
        <v>-97</v>
      </c>
      <c r="BI115" s="53">
        <f t="shared" si="55"/>
        <v>1155</v>
      </c>
      <c r="BJ115" s="53">
        <f t="shared" si="55"/>
        <v>245</v>
      </c>
      <c r="BK115" s="53">
        <f>+BK113+BK103</f>
        <v>8703</v>
      </c>
      <c r="BL115" s="53">
        <f t="shared" si="55"/>
        <v>-25</v>
      </c>
      <c r="BM115" s="53">
        <f>+BM113+BM103</f>
        <v>8678</v>
      </c>
      <c r="BN115" s="53">
        <f t="shared" si="55"/>
        <v>-3990</v>
      </c>
      <c r="BO115" s="53">
        <f t="shared" si="55"/>
        <v>0</v>
      </c>
      <c r="BP115" s="53">
        <f>+BP113+BP103</f>
        <v>4688</v>
      </c>
      <c r="BQ115" s="53">
        <f t="shared" si="55"/>
        <v>3247.4</v>
      </c>
      <c r="BR115" s="53">
        <f t="shared" si="55"/>
        <v>3990</v>
      </c>
      <c r="BS115" s="53">
        <f t="shared" si="55"/>
        <v>7237.4</v>
      </c>
      <c r="BT115" s="53">
        <f t="shared" si="55"/>
        <v>3322.48</v>
      </c>
      <c r="BU115" s="53">
        <f t="shared" si="55"/>
        <v>3364.496</v>
      </c>
      <c r="BV115" s="53">
        <f t="shared" si="55"/>
        <v>3022.8992</v>
      </c>
    </row>
    <row r="116" spans="1:74" ht="12.75">
      <c r="A116" s="1"/>
      <c r="B116" s="1"/>
      <c r="C116" s="44"/>
      <c r="D116" s="44"/>
      <c r="E116" s="44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38"/>
      <c r="S116" s="38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</row>
    <row r="117" spans="1:72" s="5" customFormat="1" ht="12.75">
      <c r="A117" s="5">
        <v>6536</v>
      </c>
      <c r="B117" s="5">
        <v>9577</v>
      </c>
      <c r="C117" s="43" t="s">
        <v>168</v>
      </c>
      <c r="F117" s="34">
        <f>515</f>
        <v>515</v>
      </c>
      <c r="G117" s="34">
        <f>122+3</f>
        <v>125</v>
      </c>
      <c r="H117" s="33">
        <f>SUM(F117:G117)</f>
        <v>640</v>
      </c>
      <c r="I117" s="33">
        <f>(500*1.03)+122+3</f>
        <v>640</v>
      </c>
      <c r="J117" s="34">
        <f>530</f>
        <v>530</v>
      </c>
      <c r="K117" s="34">
        <v>197</v>
      </c>
      <c r="L117" s="10">
        <f>SUM(J117:K117)</f>
        <v>727</v>
      </c>
      <c r="M117" s="9">
        <f>L117-P117</f>
        <v>727</v>
      </c>
      <c r="N117" s="9"/>
      <c r="O117" s="9">
        <f>M117+N117</f>
        <v>727</v>
      </c>
      <c r="P117" s="10"/>
      <c r="Q117" s="10"/>
      <c r="T117" s="34">
        <f>546</f>
        <v>546</v>
      </c>
      <c r="U117" s="9">
        <f>T117+P117</f>
        <v>546</v>
      </c>
      <c r="V117" s="10">
        <v>328</v>
      </c>
      <c r="W117" s="9">
        <f>U117+V117</f>
        <v>874</v>
      </c>
      <c r="X117" s="9"/>
      <c r="Y117" s="9"/>
      <c r="Z117" s="9"/>
      <c r="AA117" s="9">
        <f>W117-Y117-Z117+X117</f>
        <v>874</v>
      </c>
      <c r="AB117" s="9">
        <v>-60</v>
      </c>
      <c r="AC117" s="9"/>
      <c r="AD117" s="10">
        <f>AA117+AB117+AC117</f>
        <v>814</v>
      </c>
      <c r="AE117" s="10"/>
      <c r="AF117" s="10"/>
      <c r="AG117" s="10">
        <f>AD117-AE117-AF117</f>
        <v>814</v>
      </c>
      <c r="AH117" s="10"/>
      <c r="AI117" s="10"/>
      <c r="AJ117" s="10"/>
      <c r="AK117" s="10"/>
      <c r="AL117" s="10"/>
      <c r="AM117" s="34">
        <v>250</v>
      </c>
      <c r="AN117" s="33">
        <v>350.831</v>
      </c>
      <c r="AO117" s="9">
        <f>AM117+AN117</f>
        <v>600.831</v>
      </c>
      <c r="AP117" s="9"/>
      <c r="AQ117" s="9"/>
      <c r="AR117" s="9"/>
      <c r="AS117" s="9"/>
      <c r="AT117" s="10">
        <f>SUM(AO117:AS117)</f>
        <v>600.831</v>
      </c>
      <c r="AU117" s="10"/>
      <c r="AV117" s="10">
        <f>AT117-AU117</f>
        <v>600.831</v>
      </c>
      <c r="AW117" s="34">
        <v>250</v>
      </c>
      <c r="AX117" s="10"/>
      <c r="AY117" s="33">
        <v>367.5</v>
      </c>
      <c r="AZ117" s="10">
        <f>AX117+AY117</f>
        <v>367.5</v>
      </c>
      <c r="BA117" s="10">
        <v>368</v>
      </c>
      <c r="BB117" s="10"/>
      <c r="BC117" s="10"/>
      <c r="BD117" s="10">
        <f>BA117+BB117+BC117</f>
        <v>368</v>
      </c>
      <c r="BE117" s="34"/>
      <c r="BF117" s="34">
        <v>276</v>
      </c>
      <c r="BG117" s="34"/>
      <c r="BH117" s="34"/>
      <c r="BI117" s="34"/>
      <c r="BJ117" s="34"/>
      <c r="BK117" s="37">
        <f aca="true" t="shared" si="56" ref="BK117:BK122">SUM(BE117:BJ117)</f>
        <v>276</v>
      </c>
      <c r="BL117" s="34"/>
      <c r="BM117" s="34">
        <f aca="true" t="shared" si="57" ref="BM117:BM122">SUM(BK117:BL117)</f>
        <v>276</v>
      </c>
      <c r="BN117" s="34"/>
      <c r="BO117" s="34">
        <v>-254</v>
      </c>
      <c r="BP117" s="34">
        <f aca="true" t="shared" si="58" ref="BP117:BP122">SUM(BM117:BO117)</f>
        <v>22</v>
      </c>
      <c r="BQ117" s="34"/>
      <c r="BR117" s="34"/>
      <c r="BS117" s="34">
        <f aca="true" t="shared" si="59" ref="BS117:BS122">SUM(BQ117:BR117)</f>
        <v>0</v>
      </c>
      <c r="BT117" s="34"/>
    </row>
    <row r="118" spans="3:72" s="5" customFormat="1" ht="12.75">
      <c r="C118" s="37" t="s">
        <v>169</v>
      </c>
      <c r="F118" s="34"/>
      <c r="G118" s="34"/>
      <c r="H118" s="33"/>
      <c r="I118" s="33"/>
      <c r="J118" s="34"/>
      <c r="K118" s="34"/>
      <c r="L118" s="10"/>
      <c r="M118" s="9"/>
      <c r="N118" s="9"/>
      <c r="O118" s="9"/>
      <c r="P118" s="10"/>
      <c r="Q118" s="10"/>
      <c r="T118" s="34"/>
      <c r="U118" s="9"/>
      <c r="V118" s="10"/>
      <c r="W118" s="9"/>
      <c r="X118" s="9"/>
      <c r="Y118" s="9"/>
      <c r="Z118" s="9"/>
      <c r="AA118" s="9"/>
      <c r="AB118" s="9"/>
      <c r="AC118" s="9"/>
      <c r="AD118" s="10"/>
      <c r="AE118" s="10"/>
      <c r="AF118" s="10"/>
      <c r="AG118" s="10"/>
      <c r="AH118" s="10"/>
      <c r="AI118" s="10"/>
      <c r="AJ118" s="10"/>
      <c r="AK118" s="10"/>
      <c r="AL118" s="10"/>
      <c r="AM118" s="34"/>
      <c r="AN118" s="33"/>
      <c r="AO118" s="9"/>
      <c r="AP118" s="9"/>
      <c r="AQ118" s="9"/>
      <c r="AR118" s="9"/>
      <c r="AS118" s="9"/>
      <c r="AT118" s="10"/>
      <c r="AU118" s="10"/>
      <c r="AV118" s="10"/>
      <c r="AW118" s="34"/>
      <c r="AX118" s="10"/>
      <c r="AY118" s="33"/>
      <c r="AZ118" s="10"/>
      <c r="BA118" s="10"/>
      <c r="BB118" s="10"/>
      <c r="BC118" s="10"/>
      <c r="BD118" s="10"/>
      <c r="BE118" s="34"/>
      <c r="BF118" s="34"/>
      <c r="BG118" s="34">
        <v>116</v>
      </c>
      <c r="BH118" s="34">
        <v>10</v>
      </c>
      <c r="BI118" s="34"/>
      <c r="BJ118" s="34"/>
      <c r="BK118" s="37">
        <f t="shared" si="56"/>
        <v>126</v>
      </c>
      <c r="BL118" s="34"/>
      <c r="BM118" s="34">
        <f t="shared" si="57"/>
        <v>126</v>
      </c>
      <c r="BN118" s="34"/>
      <c r="BO118" s="34"/>
      <c r="BP118" s="34">
        <f t="shared" si="58"/>
        <v>126</v>
      </c>
      <c r="BQ118" s="34"/>
      <c r="BR118" s="34"/>
      <c r="BS118" s="34">
        <f t="shared" si="59"/>
        <v>0</v>
      </c>
      <c r="BT118" s="34"/>
    </row>
    <row r="119" spans="1:72" s="5" customFormat="1" ht="12.75">
      <c r="A119" s="5">
        <v>6505</v>
      </c>
      <c r="B119" s="5" t="s">
        <v>170</v>
      </c>
      <c r="C119" s="43" t="s">
        <v>171</v>
      </c>
      <c r="F119" s="34"/>
      <c r="G119" s="34"/>
      <c r="H119" s="33"/>
      <c r="I119" s="33"/>
      <c r="J119" s="34"/>
      <c r="K119" s="34"/>
      <c r="L119" s="10"/>
      <c r="M119" s="9"/>
      <c r="N119" s="9"/>
      <c r="O119" s="9"/>
      <c r="P119" s="10"/>
      <c r="Q119" s="10"/>
      <c r="T119" s="34"/>
      <c r="U119" s="9"/>
      <c r="V119" s="10">
        <f>183.632+277</f>
        <v>460.632</v>
      </c>
      <c r="W119" s="10">
        <f>U119+V119</f>
        <v>460.632</v>
      </c>
      <c r="X119" s="10"/>
      <c r="Y119" s="10"/>
      <c r="Z119" s="10"/>
      <c r="AA119" s="10">
        <f>W119-Y119-Z119+X119</f>
        <v>460.632</v>
      </c>
      <c r="AB119" s="10"/>
      <c r="AC119" s="10"/>
      <c r="AD119" s="10">
        <f>AA119+AB119+AC119</f>
        <v>460.632</v>
      </c>
      <c r="AE119" s="10"/>
      <c r="AF119" s="10"/>
      <c r="AG119" s="10">
        <f>AD119-AE119-AF119</f>
        <v>460.632</v>
      </c>
      <c r="AH119" s="10">
        <v>922</v>
      </c>
      <c r="AI119" s="10"/>
      <c r="AJ119" s="10"/>
      <c r="AK119" s="10"/>
      <c r="AL119" s="10"/>
      <c r="AM119" s="34"/>
      <c r="AN119" s="33">
        <v>261.1223</v>
      </c>
      <c r="AO119" s="55">
        <f>AM119+AN119</f>
        <v>261.1223</v>
      </c>
      <c r="AP119" s="10"/>
      <c r="AQ119" s="10"/>
      <c r="AR119" s="10"/>
      <c r="AS119" s="10">
        <v>188.288</v>
      </c>
      <c r="AT119" s="10">
        <f>SUM(AO119:AS119)</f>
        <v>449.4103</v>
      </c>
      <c r="AU119" s="10"/>
      <c r="AV119" s="10">
        <f>AT119-AU119</f>
        <v>449.4103</v>
      </c>
      <c r="AW119" s="34"/>
      <c r="AX119" s="10"/>
      <c r="AY119" s="33">
        <v>176.49872</v>
      </c>
      <c r="AZ119" s="10">
        <f>AX119+AY119</f>
        <v>176.49872</v>
      </c>
      <c r="BA119" s="10">
        <v>176</v>
      </c>
      <c r="BB119" s="10"/>
      <c r="BC119" s="10">
        <v>377</v>
      </c>
      <c r="BD119" s="10">
        <f>BA119+BB119+BC119</f>
        <v>553</v>
      </c>
      <c r="BE119" s="34"/>
      <c r="BF119" s="34"/>
      <c r="BG119" s="34"/>
      <c r="BH119" s="34"/>
      <c r="BI119" s="34">
        <f>600+150</f>
        <v>750</v>
      </c>
      <c r="BJ119" s="34"/>
      <c r="BK119" s="37">
        <f t="shared" si="56"/>
        <v>750</v>
      </c>
      <c r="BL119" s="34"/>
      <c r="BM119" s="34">
        <f t="shared" si="57"/>
        <v>750</v>
      </c>
      <c r="BN119" s="34">
        <v>-40</v>
      </c>
      <c r="BO119" s="34"/>
      <c r="BP119" s="34">
        <f t="shared" si="58"/>
        <v>710</v>
      </c>
      <c r="BQ119" s="34"/>
      <c r="BR119" s="34">
        <v>40</v>
      </c>
      <c r="BS119" s="34">
        <f t="shared" si="59"/>
        <v>40</v>
      </c>
      <c r="BT119"/>
    </row>
    <row r="120" spans="1:72" s="5" customFormat="1" ht="12.75" hidden="1">
      <c r="A120" s="5">
        <v>6580</v>
      </c>
      <c r="B120" s="5">
        <v>9703</v>
      </c>
      <c r="C120" s="43" t="s">
        <v>172</v>
      </c>
      <c r="F120" s="34"/>
      <c r="G120" s="34"/>
      <c r="H120" s="33"/>
      <c r="I120" s="33"/>
      <c r="J120" s="34"/>
      <c r="K120" s="34">
        <v>252</v>
      </c>
      <c r="L120" s="10">
        <f>SUM(J120:K120)</f>
        <v>252</v>
      </c>
      <c r="M120" s="9">
        <f>L120-P120</f>
        <v>252</v>
      </c>
      <c r="N120" s="9">
        <v>-252</v>
      </c>
      <c r="O120" s="9">
        <f>M120+N120</f>
        <v>0</v>
      </c>
      <c r="P120" s="10"/>
      <c r="Q120" s="10"/>
      <c r="T120" s="34"/>
      <c r="U120" s="9">
        <f>T120+P120</f>
        <v>0</v>
      </c>
      <c r="V120" s="10"/>
      <c r="W120" s="9"/>
      <c r="X120" s="9"/>
      <c r="Y120" s="9"/>
      <c r="Z120" s="9"/>
      <c r="AA120" s="9">
        <f>W120-Y120-Z120+X120</f>
        <v>0</v>
      </c>
      <c r="AB120" s="9"/>
      <c r="AC120" s="9"/>
      <c r="AD120" s="9">
        <f>AA120+AB120+AC120</f>
        <v>0</v>
      </c>
      <c r="AE120" s="9"/>
      <c r="AF120" s="9"/>
      <c r="AG120" s="9">
        <f>AD120-AE120-AF120</f>
        <v>0</v>
      </c>
      <c r="AH120" s="9"/>
      <c r="AI120" s="9"/>
      <c r="AJ120" s="9"/>
      <c r="AK120" s="9"/>
      <c r="AL120" s="9"/>
      <c r="AM120" s="34"/>
      <c r="AN120" s="33"/>
      <c r="AO120" s="10">
        <f>AM120+AN120</f>
        <v>0</v>
      </c>
      <c r="AP120" s="10"/>
      <c r="AQ120" s="10"/>
      <c r="AR120" s="10"/>
      <c r="AS120" s="10"/>
      <c r="AT120" s="10">
        <f>SUM(AO120:AS120)</f>
        <v>0</v>
      </c>
      <c r="AU120" s="10"/>
      <c r="AV120" s="10">
        <f>AT120-AU120</f>
        <v>0</v>
      </c>
      <c r="AW120" s="34"/>
      <c r="AX120" s="10">
        <f>AW120+AU120</f>
        <v>0</v>
      </c>
      <c r="AY120" s="33"/>
      <c r="AZ120" s="10">
        <f>AX120+AY120</f>
        <v>0</v>
      </c>
      <c r="BA120" s="10"/>
      <c r="BB120" s="10"/>
      <c r="BC120" s="10"/>
      <c r="BD120" s="10">
        <f>BA120+BB120+BC120</f>
        <v>0</v>
      </c>
      <c r="BE120" s="34"/>
      <c r="BF120" s="34"/>
      <c r="BG120" s="34"/>
      <c r="BH120" s="34"/>
      <c r="BI120" s="34"/>
      <c r="BJ120" s="34"/>
      <c r="BK120" s="37">
        <f t="shared" si="56"/>
        <v>0</v>
      </c>
      <c r="BL120" s="34"/>
      <c r="BM120" s="34">
        <f t="shared" si="57"/>
        <v>0</v>
      </c>
      <c r="BN120" s="34"/>
      <c r="BO120" s="34"/>
      <c r="BP120" s="34">
        <f t="shared" si="58"/>
        <v>0</v>
      </c>
      <c r="BQ120" s="34"/>
      <c r="BR120" s="34"/>
      <c r="BS120" s="34">
        <f t="shared" si="59"/>
        <v>0</v>
      </c>
      <c r="BT120"/>
    </row>
    <row r="121" spans="3:72" s="5" customFormat="1" ht="12.75" hidden="1">
      <c r="C121" s="37" t="s">
        <v>173</v>
      </c>
      <c r="F121" s="34"/>
      <c r="G121" s="34"/>
      <c r="H121" s="33"/>
      <c r="I121" s="33"/>
      <c r="J121" s="34"/>
      <c r="K121" s="34"/>
      <c r="L121" s="10"/>
      <c r="M121" s="9"/>
      <c r="N121" s="9"/>
      <c r="O121" s="9"/>
      <c r="P121" s="10"/>
      <c r="Q121" s="10"/>
      <c r="T121" s="34"/>
      <c r="U121" s="9"/>
      <c r="V121" s="10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34"/>
      <c r="AN121" s="33"/>
      <c r="AO121" s="10"/>
      <c r="AP121" s="10"/>
      <c r="AQ121" s="10"/>
      <c r="AR121" s="10"/>
      <c r="AS121" s="10"/>
      <c r="AT121" s="10"/>
      <c r="AU121" s="10"/>
      <c r="AV121" s="10"/>
      <c r="AW121" s="34"/>
      <c r="AX121" s="10"/>
      <c r="AY121" s="33"/>
      <c r="AZ121" s="10"/>
      <c r="BA121" s="10"/>
      <c r="BB121" s="10"/>
      <c r="BC121" s="10">
        <v>244</v>
      </c>
      <c r="BD121" s="10">
        <f>BA121+BB121+BC121</f>
        <v>244</v>
      </c>
      <c r="BE121" s="34"/>
      <c r="BF121" s="34"/>
      <c r="BG121" s="34"/>
      <c r="BH121" s="34"/>
      <c r="BI121" s="34"/>
      <c r="BJ121" s="34"/>
      <c r="BK121" s="37">
        <f t="shared" si="56"/>
        <v>0</v>
      </c>
      <c r="BL121" s="34"/>
      <c r="BM121" s="34">
        <f t="shared" si="57"/>
        <v>0</v>
      </c>
      <c r="BN121" s="34"/>
      <c r="BO121" s="34"/>
      <c r="BP121" s="34">
        <f t="shared" si="58"/>
        <v>0</v>
      </c>
      <c r="BQ121" s="34"/>
      <c r="BR121" s="34"/>
      <c r="BS121" s="34">
        <f t="shared" si="59"/>
        <v>0</v>
      </c>
      <c r="BT121"/>
    </row>
    <row r="122" spans="1:74" s="5" customFormat="1" ht="12.75">
      <c r="A122" s="5">
        <v>6580</v>
      </c>
      <c r="B122" s="63" t="s">
        <v>174</v>
      </c>
      <c r="C122" s="37" t="s">
        <v>175</v>
      </c>
      <c r="F122" s="34">
        <v>2854</v>
      </c>
      <c r="G122" s="34">
        <f>157+109+41</f>
        <v>307</v>
      </c>
      <c r="H122" s="33">
        <f>SUM(F122:G122)</f>
        <v>3161</v>
      </c>
      <c r="I122" s="33">
        <v>3161</v>
      </c>
      <c r="J122" s="34">
        <v>3161</v>
      </c>
      <c r="K122" s="34">
        <v>292</v>
      </c>
      <c r="L122" s="10">
        <f>SUM(J122:K122)</f>
        <v>3453</v>
      </c>
      <c r="M122" s="9">
        <v>3308</v>
      </c>
      <c r="N122" s="9">
        <v>167</v>
      </c>
      <c r="O122" s="9">
        <f>M122+N122</f>
        <v>3475</v>
      </c>
      <c r="P122" s="10"/>
      <c r="Q122" s="10"/>
      <c r="T122" s="34">
        <v>3028</v>
      </c>
      <c r="U122" s="9">
        <f>T122+P122</f>
        <v>3028</v>
      </c>
      <c r="V122" s="10">
        <f>18+80+15+143</f>
        <v>256</v>
      </c>
      <c r="W122" s="9">
        <f>U122+V122</f>
        <v>3284</v>
      </c>
      <c r="X122" s="9">
        <v>193</v>
      </c>
      <c r="Y122" s="9"/>
      <c r="Z122" s="9"/>
      <c r="AA122" s="9">
        <f>W122-Y122-Z122+X122</f>
        <v>3477</v>
      </c>
      <c r="AB122" s="9"/>
      <c r="AC122" s="9"/>
      <c r="AD122" s="9">
        <f>AA122+AB122+AC122</f>
        <v>3477</v>
      </c>
      <c r="AE122" s="9"/>
      <c r="AF122" s="9"/>
      <c r="AG122" s="9">
        <f>AD122-AE122-AF122</f>
        <v>3477</v>
      </c>
      <c r="AH122" s="9">
        <v>403</v>
      </c>
      <c r="AI122" s="9"/>
      <c r="AJ122" s="9"/>
      <c r="AK122" s="9"/>
      <c r="AL122" s="9"/>
      <c r="AM122" s="34">
        <f>3119-429</f>
        <v>2690</v>
      </c>
      <c r="AN122" s="33">
        <v>816.28099</v>
      </c>
      <c r="AO122" s="55">
        <f>AM122+AN122</f>
        <v>3506.28099</v>
      </c>
      <c r="AP122" s="10"/>
      <c r="AQ122" s="10"/>
      <c r="AR122" s="10"/>
      <c r="AS122" s="10">
        <f>0.2-234+13.75+196+157.096+5.405</f>
        <v>138.451</v>
      </c>
      <c r="AT122" s="10">
        <f>SUM(AO122:AS122)</f>
        <v>3644.73199</v>
      </c>
      <c r="AU122" s="10">
        <v>240</v>
      </c>
      <c r="AV122" s="10">
        <f>AT122-AU122</f>
        <v>3404.73199</v>
      </c>
      <c r="AW122" s="34">
        <f>3212-321-380</f>
        <v>2511</v>
      </c>
      <c r="AX122" s="10">
        <f>AW122+AU122</f>
        <v>2751</v>
      </c>
      <c r="AY122" s="33">
        <f>105+58.31022+45</f>
        <v>208.31022000000002</v>
      </c>
      <c r="AZ122" s="10">
        <f>AX122+AY122</f>
        <v>2959.31022</v>
      </c>
      <c r="BA122" s="10">
        <v>2959</v>
      </c>
      <c r="BB122" s="10"/>
      <c r="BC122" s="10">
        <f>-335+343</f>
        <v>8</v>
      </c>
      <c r="BD122" s="10">
        <f>BA122+BB122+BC122</f>
        <v>2967</v>
      </c>
      <c r="BE122" s="34">
        <f>3350-321</f>
        <v>3029</v>
      </c>
      <c r="BF122" s="34">
        <f>499+124</f>
        <v>623</v>
      </c>
      <c r="BG122" s="34">
        <f>25+300</f>
        <v>325</v>
      </c>
      <c r="BH122" s="34"/>
      <c r="BI122" s="34">
        <v>54</v>
      </c>
      <c r="BJ122" s="34">
        <v>-400</v>
      </c>
      <c r="BK122" s="64">
        <f t="shared" si="56"/>
        <v>3631</v>
      </c>
      <c r="BL122" s="34"/>
      <c r="BM122" s="34">
        <f t="shared" si="57"/>
        <v>3631</v>
      </c>
      <c r="BN122" s="34">
        <v>-105</v>
      </c>
      <c r="BO122" s="34"/>
      <c r="BP122" s="34">
        <f t="shared" si="58"/>
        <v>3526</v>
      </c>
      <c r="BQ122" s="34">
        <v>2515</v>
      </c>
      <c r="BR122" s="34">
        <v>105</v>
      </c>
      <c r="BS122" s="34">
        <f t="shared" si="59"/>
        <v>2620</v>
      </c>
      <c r="BT122">
        <v>2388</v>
      </c>
      <c r="BU122" s="34">
        <v>2538</v>
      </c>
      <c r="BV122" s="34">
        <v>2644</v>
      </c>
    </row>
    <row r="123" spans="1:74" ht="12.75">
      <c r="A123" s="1"/>
      <c r="B123" s="1"/>
      <c r="C123" s="44" t="s">
        <v>176</v>
      </c>
      <c r="D123" s="52"/>
      <c r="E123" s="52"/>
      <c r="F123" s="53">
        <f aca="true" t="shared" si="60" ref="F123:M123">SUM(F117:F122)</f>
        <v>3369</v>
      </c>
      <c r="G123" s="53">
        <f t="shared" si="60"/>
        <v>432</v>
      </c>
      <c r="H123" s="53">
        <f t="shared" si="60"/>
        <v>3801</v>
      </c>
      <c r="I123" s="53">
        <f t="shared" si="60"/>
        <v>3801</v>
      </c>
      <c r="J123" s="53">
        <f t="shared" si="60"/>
        <v>3691</v>
      </c>
      <c r="K123" s="53">
        <f t="shared" si="60"/>
        <v>741</v>
      </c>
      <c r="L123" s="53">
        <f t="shared" si="60"/>
        <v>4432</v>
      </c>
      <c r="M123" s="53">
        <f t="shared" si="60"/>
        <v>4287</v>
      </c>
      <c r="N123" s="53"/>
      <c r="O123" s="53">
        <f>SUM(O117:O122)</f>
        <v>4202</v>
      </c>
      <c r="P123" s="53">
        <f>SUM(P117:P122)</f>
        <v>0</v>
      </c>
      <c r="Q123" s="53"/>
      <c r="R123" s="54"/>
      <c r="S123" s="54"/>
      <c r="T123" s="53">
        <f aca="true" t="shared" si="61" ref="T123:AH123">SUM(T117:T122)</f>
        <v>3574</v>
      </c>
      <c r="U123" s="53">
        <f t="shared" si="61"/>
        <v>3574</v>
      </c>
      <c r="V123" s="53">
        <f t="shared" si="61"/>
        <v>1044.632</v>
      </c>
      <c r="W123" s="53">
        <f t="shared" si="61"/>
        <v>4618.632</v>
      </c>
      <c r="X123" s="53">
        <f t="shared" si="61"/>
        <v>193</v>
      </c>
      <c r="Y123" s="53">
        <f t="shared" si="61"/>
        <v>0</v>
      </c>
      <c r="Z123" s="53">
        <f t="shared" si="61"/>
        <v>0</v>
      </c>
      <c r="AA123" s="53">
        <f t="shared" si="61"/>
        <v>4811.632</v>
      </c>
      <c r="AB123" s="53">
        <f t="shared" si="61"/>
        <v>-60</v>
      </c>
      <c r="AC123" s="53">
        <f t="shared" si="61"/>
        <v>0</v>
      </c>
      <c r="AD123" s="53">
        <f t="shared" si="61"/>
        <v>4751.632</v>
      </c>
      <c r="AE123" s="53">
        <f t="shared" si="61"/>
        <v>0</v>
      </c>
      <c r="AF123" s="53">
        <f t="shared" si="61"/>
        <v>0</v>
      </c>
      <c r="AG123" s="53">
        <f t="shared" si="61"/>
        <v>4751.632</v>
      </c>
      <c r="AH123" s="53">
        <f t="shared" si="61"/>
        <v>1325</v>
      </c>
      <c r="AI123" s="53"/>
      <c r="AJ123" s="53"/>
      <c r="AK123" s="53"/>
      <c r="AL123" s="53"/>
      <c r="AM123" s="53">
        <f aca="true" t="shared" si="62" ref="AM123:BV123">SUM(AM117:AM122)</f>
        <v>2940</v>
      </c>
      <c r="AN123" s="53">
        <f t="shared" si="62"/>
        <v>1428.2342899999999</v>
      </c>
      <c r="AO123" s="53">
        <f t="shared" si="62"/>
        <v>4368.23429</v>
      </c>
      <c r="AP123" s="53">
        <f t="shared" si="62"/>
        <v>0</v>
      </c>
      <c r="AQ123" s="53">
        <f t="shared" si="62"/>
        <v>0</v>
      </c>
      <c r="AR123" s="53">
        <f t="shared" si="62"/>
        <v>0</v>
      </c>
      <c r="AS123" s="53">
        <f t="shared" si="62"/>
        <v>326.73900000000003</v>
      </c>
      <c r="AT123" s="53">
        <f t="shared" si="62"/>
        <v>4694.97329</v>
      </c>
      <c r="AU123" s="53">
        <f t="shared" si="62"/>
        <v>240</v>
      </c>
      <c r="AV123" s="53">
        <f t="shared" si="62"/>
        <v>4454.97329</v>
      </c>
      <c r="AW123" s="53">
        <f t="shared" si="62"/>
        <v>2761</v>
      </c>
      <c r="AX123" s="53">
        <f t="shared" si="62"/>
        <v>2751</v>
      </c>
      <c r="AY123" s="53">
        <f t="shared" si="62"/>
        <v>752.3089400000001</v>
      </c>
      <c r="AZ123" s="53">
        <f t="shared" si="62"/>
        <v>3503.30894</v>
      </c>
      <c r="BA123" s="53">
        <f t="shared" si="62"/>
        <v>3503</v>
      </c>
      <c r="BB123" s="53">
        <f t="shared" si="62"/>
        <v>0</v>
      </c>
      <c r="BC123" s="53">
        <f t="shared" si="62"/>
        <v>629</v>
      </c>
      <c r="BD123" s="53">
        <f t="shared" si="62"/>
        <v>4132</v>
      </c>
      <c r="BE123" s="53">
        <f>SUM(BE117:BE122)</f>
        <v>3029</v>
      </c>
      <c r="BF123" s="53">
        <f t="shared" si="62"/>
        <v>899</v>
      </c>
      <c r="BG123" s="53">
        <f t="shared" si="62"/>
        <v>441</v>
      </c>
      <c r="BH123" s="53">
        <f t="shared" si="62"/>
        <v>10</v>
      </c>
      <c r="BI123" s="53">
        <f t="shared" si="62"/>
        <v>804</v>
      </c>
      <c r="BJ123" s="53">
        <f t="shared" si="62"/>
        <v>-400</v>
      </c>
      <c r="BK123" s="53">
        <f t="shared" si="62"/>
        <v>4783</v>
      </c>
      <c r="BL123" s="53">
        <f>SUM(BL117:BL122)</f>
        <v>0</v>
      </c>
      <c r="BM123" s="53">
        <f>SUM(BM117:BM122)</f>
        <v>4783</v>
      </c>
      <c r="BN123" s="53">
        <f>SUM(BN117:BN122)</f>
        <v>-145</v>
      </c>
      <c r="BO123" s="53">
        <f>SUM(BO117:BO122)</f>
        <v>-254</v>
      </c>
      <c r="BP123" s="53">
        <f>SUM(BP117:BP122)</f>
        <v>4384</v>
      </c>
      <c r="BQ123" s="53">
        <f t="shared" si="62"/>
        <v>2515</v>
      </c>
      <c r="BR123" s="53">
        <f>SUM(BR117:BR122)</f>
        <v>145</v>
      </c>
      <c r="BS123" s="53">
        <f>SUM(BS117:BS122)</f>
        <v>2660</v>
      </c>
      <c r="BT123" s="53">
        <f t="shared" si="62"/>
        <v>2388</v>
      </c>
      <c r="BU123" s="53">
        <f t="shared" si="62"/>
        <v>2538</v>
      </c>
      <c r="BV123" s="53">
        <f t="shared" si="62"/>
        <v>2644</v>
      </c>
    </row>
    <row r="124" spans="1:72" ht="12.75">
      <c r="A124" s="1"/>
      <c r="B124" s="1"/>
      <c r="C124" s="44"/>
      <c r="D124" s="1"/>
      <c r="E124" s="1"/>
      <c r="F124" s="15"/>
      <c r="G124" s="15"/>
      <c r="H124" s="16"/>
      <c r="I124" s="16"/>
      <c r="BT124" s="9"/>
    </row>
    <row r="125" spans="3:74" ht="13.5" thickBot="1">
      <c r="C125" s="44" t="s">
        <v>177</v>
      </c>
      <c r="D125" s="65"/>
      <c r="E125" s="65"/>
      <c r="F125" s="66">
        <f aca="true" t="shared" si="63" ref="F125:M125">+F123+F115+F58</f>
        <v>24407</v>
      </c>
      <c r="G125" s="66">
        <f t="shared" si="63"/>
        <v>2622</v>
      </c>
      <c r="H125" s="66">
        <f t="shared" si="63"/>
        <v>27029</v>
      </c>
      <c r="I125" s="66">
        <f t="shared" si="63"/>
        <v>22395.035</v>
      </c>
      <c r="J125" s="66">
        <f t="shared" si="63"/>
        <v>28650</v>
      </c>
      <c r="K125" s="66">
        <f t="shared" si="63"/>
        <v>21105</v>
      </c>
      <c r="L125" s="66">
        <f t="shared" si="63"/>
        <v>49755</v>
      </c>
      <c r="M125" s="66">
        <f t="shared" si="63"/>
        <v>33041</v>
      </c>
      <c r="N125" s="66"/>
      <c r="O125" s="66">
        <f>+O123+O115+O58</f>
        <v>35508</v>
      </c>
      <c r="P125" s="66">
        <f>+P123+P115+P58</f>
        <v>16829</v>
      </c>
      <c r="Q125" s="66"/>
      <c r="R125" s="67"/>
      <c r="S125" s="67"/>
      <c r="T125" s="66">
        <f aca="true" t="shared" si="64" ref="T125:AH125">+T123+T115+T58</f>
        <v>43418</v>
      </c>
      <c r="U125" s="66">
        <f t="shared" si="64"/>
        <v>56425</v>
      </c>
      <c r="V125" s="66">
        <f t="shared" si="64"/>
        <v>4404.632</v>
      </c>
      <c r="W125" s="66">
        <f t="shared" si="64"/>
        <v>60829.632</v>
      </c>
      <c r="X125" s="66">
        <f t="shared" si="64"/>
        <v>128</v>
      </c>
      <c r="Y125" s="66">
        <f t="shared" si="64"/>
        <v>23545</v>
      </c>
      <c r="Z125" s="66">
        <f t="shared" si="64"/>
        <v>791</v>
      </c>
      <c r="AA125" s="66">
        <f t="shared" si="64"/>
        <v>36621.632</v>
      </c>
      <c r="AB125" s="66">
        <f t="shared" si="64"/>
        <v>0</v>
      </c>
      <c r="AC125" s="66">
        <f t="shared" si="64"/>
        <v>100</v>
      </c>
      <c r="AD125" s="66">
        <f t="shared" si="64"/>
        <v>36721.632</v>
      </c>
      <c r="AE125" s="66">
        <f t="shared" si="64"/>
        <v>4241</v>
      </c>
      <c r="AF125" s="66">
        <f t="shared" si="64"/>
        <v>6447</v>
      </c>
      <c r="AG125" s="66">
        <f t="shared" si="64"/>
        <v>26033.631999999998</v>
      </c>
      <c r="AH125" s="66">
        <f t="shared" si="64"/>
        <v>3184</v>
      </c>
      <c r="AI125" s="66"/>
      <c r="AJ125" s="66"/>
      <c r="AK125" s="66"/>
      <c r="AL125" s="66"/>
      <c r="AM125" s="66">
        <f aca="true" t="shared" si="65" ref="AM125:AZ125">+AM123+AM115+AM58</f>
        <v>33704</v>
      </c>
      <c r="AN125" s="66">
        <f t="shared" si="65"/>
        <v>7864.086139999999</v>
      </c>
      <c r="AO125" s="66">
        <f t="shared" si="65"/>
        <v>41568.08614</v>
      </c>
      <c r="AP125" s="66">
        <f t="shared" si="65"/>
        <v>0</v>
      </c>
      <c r="AQ125" s="66">
        <f t="shared" si="65"/>
        <v>-400</v>
      </c>
      <c r="AR125" s="66">
        <f t="shared" si="65"/>
        <v>35.508</v>
      </c>
      <c r="AS125" s="66">
        <f t="shared" si="65"/>
        <v>303.135</v>
      </c>
      <c r="AT125" s="66">
        <f t="shared" si="65"/>
        <v>41506.72914</v>
      </c>
      <c r="AU125" s="66">
        <f t="shared" si="65"/>
        <v>10871.5</v>
      </c>
      <c r="AV125" s="66">
        <f t="shared" si="65"/>
        <v>30635.22914</v>
      </c>
      <c r="AW125" s="66">
        <f t="shared" si="65"/>
        <v>17646</v>
      </c>
      <c r="AX125" s="66">
        <f t="shared" si="65"/>
        <v>27492.5</v>
      </c>
      <c r="AY125" s="66">
        <f t="shared" si="65"/>
        <v>3032.40885</v>
      </c>
      <c r="AZ125" s="66">
        <f t="shared" si="65"/>
        <v>30524.908850000003</v>
      </c>
      <c r="BA125" s="66">
        <f>BA123+BA115+BA58</f>
        <v>30875</v>
      </c>
      <c r="BB125" s="66">
        <f>BB123+BB115+BB58</f>
        <v>-4376</v>
      </c>
      <c r="BC125" s="66">
        <f>BC123+BC115+BC58</f>
        <v>720</v>
      </c>
      <c r="BD125" s="66">
        <f>BD123+BD115+BD58</f>
        <v>27219</v>
      </c>
      <c r="BE125" s="66">
        <f aca="true" t="shared" si="66" ref="BE125:BV125">+BE123+BE115+BE58</f>
        <v>17567</v>
      </c>
      <c r="BF125" s="66">
        <f t="shared" si="66"/>
        <v>3330</v>
      </c>
      <c r="BG125" s="66">
        <f t="shared" si="66"/>
        <v>1059.42</v>
      </c>
      <c r="BH125" s="66">
        <f>+BH123+BH115+BH58</f>
        <v>0</v>
      </c>
      <c r="BI125" s="66">
        <f>+BI123+BI115+BI58</f>
        <v>2151</v>
      </c>
      <c r="BJ125" s="66">
        <f t="shared" si="66"/>
        <v>-355</v>
      </c>
      <c r="BK125" s="66">
        <f t="shared" si="66"/>
        <v>23752.42</v>
      </c>
      <c r="BL125" s="66">
        <f t="shared" si="66"/>
        <v>-1525</v>
      </c>
      <c r="BM125" s="66">
        <f>+BM123+BM115+BM58</f>
        <v>22227.42</v>
      </c>
      <c r="BN125" s="66">
        <f t="shared" si="66"/>
        <v>-5881</v>
      </c>
      <c r="BO125" s="66">
        <f t="shared" si="66"/>
        <v>-684</v>
      </c>
      <c r="BP125" s="66">
        <f t="shared" si="66"/>
        <v>15662.42</v>
      </c>
      <c r="BQ125" s="66">
        <f t="shared" si="66"/>
        <v>15071</v>
      </c>
      <c r="BR125" s="66">
        <f t="shared" si="66"/>
        <v>5881</v>
      </c>
      <c r="BS125" s="66">
        <f t="shared" si="66"/>
        <v>20952</v>
      </c>
      <c r="BT125" s="66">
        <f t="shared" si="66"/>
        <v>10942.4</v>
      </c>
      <c r="BU125" s="66">
        <f t="shared" si="66"/>
        <v>10049.880000000001</v>
      </c>
      <c r="BV125" s="66">
        <f t="shared" si="66"/>
        <v>9597.376</v>
      </c>
    </row>
    <row r="126" spans="3:9" ht="13.5" thickTop="1">
      <c r="C126" s="44"/>
      <c r="D126" s="1"/>
      <c r="E126" s="1"/>
      <c r="F126" s="15"/>
      <c r="G126" s="15"/>
      <c r="H126" s="16"/>
      <c r="I126" s="16"/>
    </row>
    <row r="127" spans="3:9" ht="12.75">
      <c r="C127" s="44" t="s">
        <v>30</v>
      </c>
      <c r="D127" s="1"/>
      <c r="E127" s="1"/>
      <c r="F127" s="15">
        <v>542</v>
      </c>
      <c r="G127" s="15">
        <v>-379</v>
      </c>
      <c r="H127" s="33">
        <f>SUM(F127:G127)</f>
        <v>163</v>
      </c>
      <c r="I127" s="33"/>
    </row>
    <row r="128" spans="3:74" ht="12.75">
      <c r="C128" s="68" t="s">
        <v>178</v>
      </c>
      <c r="D128" s="69"/>
      <c r="E128" s="69"/>
      <c r="F128" s="69">
        <v>-4253</v>
      </c>
      <c r="G128" s="69"/>
      <c r="H128" s="70">
        <f>SUM(F128:G128)</f>
        <v>-4253</v>
      </c>
      <c r="I128" s="70"/>
      <c r="J128" s="70">
        <v>-5193</v>
      </c>
      <c r="K128" s="70"/>
      <c r="L128" s="70">
        <f>J128</f>
        <v>-5193</v>
      </c>
      <c r="M128" s="70"/>
      <c r="N128" s="70"/>
      <c r="O128" s="70"/>
      <c r="P128" s="70"/>
      <c r="Q128" s="70"/>
      <c r="T128" s="70">
        <f>-(+T58+T127)*0.2-1</f>
        <v>-5797</v>
      </c>
      <c r="U128" s="70">
        <f>-(+U58+U127)*0.2-1</f>
        <v>-8553.2</v>
      </c>
      <c r="V128" s="70"/>
      <c r="W128" s="70">
        <f>SUM(U128:V128)</f>
        <v>-8553.2</v>
      </c>
      <c r="X128" s="70"/>
      <c r="Y128" s="70"/>
      <c r="Z128" s="70"/>
      <c r="AA128" s="70">
        <f>-(+AA58+AA127)*0.2-1</f>
        <v>-3858.2000000000003</v>
      </c>
      <c r="AB128" s="70"/>
      <c r="AC128" s="70"/>
      <c r="AD128" s="70">
        <v>-3858.2</v>
      </c>
      <c r="AE128" s="70"/>
      <c r="AF128" s="70"/>
      <c r="AG128" s="70">
        <f>-(+AG58+AG127)*0.2-1</f>
        <v>-2272.8</v>
      </c>
      <c r="AH128" s="70"/>
      <c r="AI128" s="70"/>
      <c r="AJ128" s="70"/>
      <c r="AK128" s="70"/>
      <c r="AL128" s="70"/>
      <c r="AM128" s="70">
        <f>-(+AM58+AM127)*0.2-1</f>
        <v>-4806</v>
      </c>
      <c r="AN128" s="70"/>
      <c r="AO128" s="70">
        <f>AM128</f>
        <v>-4806</v>
      </c>
      <c r="AP128" s="70"/>
      <c r="AQ128" s="70"/>
      <c r="AR128" s="70"/>
      <c r="AS128" s="70"/>
      <c r="AT128" s="71">
        <f>SUM(AO128:AS128)</f>
        <v>-4806</v>
      </c>
      <c r="AU128" s="71">
        <v>5260.56</v>
      </c>
      <c r="AV128" s="71">
        <f>AT128+AU128</f>
        <v>454.5600000000004</v>
      </c>
      <c r="AW128" s="70">
        <f>-(+AW58+AW127)*0.2-1</f>
        <v>-2383</v>
      </c>
      <c r="AX128" s="70">
        <f>-(+AX58+AX127)*0.2-1</f>
        <v>-3944.3</v>
      </c>
      <c r="AY128" s="70"/>
      <c r="AZ128" s="70">
        <f>AX128</f>
        <v>-3944.3</v>
      </c>
      <c r="BA128" s="70">
        <v>-4004</v>
      </c>
      <c r="BB128" s="70">
        <v>3371</v>
      </c>
      <c r="BC128" s="70"/>
      <c r="BD128" s="70">
        <f>SUM(BA128:BC128)</f>
        <v>-633</v>
      </c>
      <c r="BE128" s="70">
        <f>-1644</f>
        <v>-1644</v>
      </c>
      <c r="BF128" s="70">
        <f>BF58*-0.2</f>
        <v>-289.8</v>
      </c>
      <c r="BG128" s="70"/>
      <c r="BH128" s="70"/>
      <c r="BI128" s="70"/>
      <c r="BJ128" s="70"/>
      <c r="BK128" s="70">
        <f>SUM(BE128:BJ128)</f>
        <v>-1933.8</v>
      </c>
      <c r="BL128" s="70">
        <v>300</v>
      </c>
      <c r="BM128" s="70">
        <f>SUM(BK128:BL128)</f>
        <v>-1633.8</v>
      </c>
      <c r="BN128" s="70">
        <v>269.2</v>
      </c>
      <c r="BO128" s="70">
        <f>SUM(BO58)*-0.2</f>
        <v>86</v>
      </c>
      <c r="BP128" s="70">
        <f>SUM(BM128:BO128)</f>
        <v>-1278.6</v>
      </c>
      <c r="BQ128" s="70">
        <f>-(+BQ58+BQ127)*0.2-1</f>
        <v>-1862.7200000000003</v>
      </c>
      <c r="BR128" s="70">
        <f>BN128*-1</f>
        <v>-269.2</v>
      </c>
      <c r="BS128" s="70">
        <f>SUM(BQ128:BR128)</f>
        <v>-2131.92</v>
      </c>
      <c r="BT128" s="70">
        <f>-(+BT58+BT127)*0.2-1</f>
        <v>-1047.384</v>
      </c>
      <c r="BU128" s="70">
        <f>-(+BU58+BU127)*0.2-1</f>
        <v>-830.4768</v>
      </c>
      <c r="BV128" s="70">
        <f>-(+BV58+BV127)*0.2-1</f>
        <v>-787.09536</v>
      </c>
    </row>
    <row r="129" spans="3:74" ht="12.75">
      <c r="C129" s="68" t="s">
        <v>179</v>
      </c>
      <c r="D129" s="69"/>
      <c r="E129" s="69"/>
      <c r="F129" s="69">
        <v>-2234</v>
      </c>
      <c r="G129" s="69"/>
      <c r="H129" s="70">
        <f>SUM(F129:G129)</f>
        <v>-2234</v>
      </c>
      <c r="I129" s="70"/>
      <c r="J129" s="70">
        <v>-1074</v>
      </c>
      <c r="K129" s="70"/>
      <c r="L129" s="70">
        <f>J129</f>
        <v>-1074</v>
      </c>
      <c r="M129" s="70"/>
      <c r="N129" s="70"/>
      <c r="O129" s="70"/>
      <c r="P129" s="70"/>
      <c r="Q129" s="70"/>
      <c r="T129" s="70">
        <f>-(+T115)*0.2</f>
        <v>-2172.8</v>
      </c>
      <c r="U129" s="70">
        <f>-(+U115)*0.2</f>
        <v>-2018</v>
      </c>
      <c r="V129" s="70"/>
      <c r="W129" s="70">
        <f>SUM(U129:V129)</f>
        <v>-2018</v>
      </c>
      <c r="X129" s="70"/>
      <c r="Y129" s="70"/>
      <c r="Z129" s="70"/>
      <c r="AA129" s="70">
        <f>-(+AA115)*0.2</f>
        <v>-2504.8</v>
      </c>
      <c r="AB129" s="70"/>
      <c r="AC129" s="70"/>
      <c r="AD129" s="70">
        <v>-2613</v>
      </c>
      <c r="AE129" s="70"/>
      <c r="AF129" s="70"/>
      <c r="AG129" s="70">
        <v>0</v>
      </c>
      <c r="AH129" s="70"/>
      <c r="AI129" s="70"/>
      <c r="AJ129" s="70"/>
      <c r="AK129" s="70"/>
      <c r="AL129" s="70"/>
      <c r="AM129" s="70">
        <f>-(+AM115)*0.2</f>
        <v>-1347.8000000000002</v>
      </c>
      <c r="AN129" s="70"/>
      <c r="AO129" s="70">
        <f>AM129</f>
        <v>-1347.8000000000002</v>
      </c>
      <c r="AP129" s="70"/>
      <c r="AQ129" s="70"/>
      <c r="AR129" s="70"/>
      <c r="AS129" s="70"/>
      <c r="AT129" s="71">
        <f>SUM(AO129:AS129)</f>
        <v>-1347.8000000000002</v>
      </c>
      <c r="AU129" s="71">
        <v>1347.8</v>
      </c>
      <c r="AV129" s="71">
        <f>AT129+AU129</f>
        <v>0</v>
      </c>
      <c r="AW129" s="70">
        <f>-(+AW115)*0.2</f>
        <v>-595</v>
      </c>
      <c r="AX129" s="70">
        <f>-(+AX115)*0.2</f>
        <v>-1005</v>
      </c>
      <c r="AY129" s="70"/>
      <c r="AZ129" s="70">
        <f>AX129</f>
        <v>-1005</v>
      </c>
      <c r="BA129" s="70">
        <v>-1005</v>
      </c>
      <c r="BB129" s="70">
        <v>1005</v>
      </c>
      <c r="BC129" s="70"/>
      <c r="BD129" s="70">
        <f>SUM(BA129:BC129)</f>
        <v>0</v>
      </c>
      <c r="BE129" s="70">
        <v>-1265</v>
      </c>
      <c r="BF129" s="70">
        <f>BF115*-0.2</f>
        <v>-196.4</v>
      </c>
      <c r="BG129" s="70">
        <v>-99</v>
      </c>
      <c r="BH129" s="70"/>
      <c r="BI129" s="70"/>
      <c r="BJ129" s="70"/>
      <c r="BK129" s="70">
        <f>SUM(BE129:BJ129)</f>
        <v>-1560.4</v>
      </c>
      <c r="BL129" s="70">
        <v>5</v>
      </c>
      <c r="BM129" s="70">
        <f>SUM(BJ129:BL129)</f>
        <v>-1555.4</v>
      </c>
      <c r="BN129" s="70">
        <f>SUM(BN62:BN101)*-0.2</f>
        <v>778</v>
      </c>
      <c r="BO129" s="70">
        <f>SUM(BO62:BO101)*-0.2</f>
        <v>0</v>
      </c>
      <c r="BP129" s="70">
        <f>SUM(BM129:BO129)</f>
        <v>-777.4000000000001</v>
      </c>
      <c r="BQ129" s="70">
        <f>-(+BQ115)*0.2</f>
        <v>-649.48</v>
      </c>
      <c r="BR129" s="70">
        <f>BN129*-1</f>
        <v>-778</v>
      </c>
      <c r="BS129" s="70">
        <f>SUM(BQ129:BR129)</f>
        <v>-1427.48</v>
      </c>
      <c r="BT129" s="70">
        <f>-(+BT115)*0.2</f>
        <v>-664.4960000000001</v>
      </c>
      <c r="BU129" s="70">
        <f>-(+BU115)*0.2</f>
        <v>-672.8992000000001</v>
      </c>
      <c r="BV129" s="70">
        <f>-(+BV115)*0.2</f>
        <v>-604.57984</v>
      </c>
    </row>
    <row r="130" spans="3:74" ht="12.75">
      <c r="C130" s="44" t="s">
        <v>180</v>
      </c>
      <c r="D130" s="1"/>
      <c r="E130" s="1"/>
      <c r="F130" s="16">
        <f>SUM(F128:F129)</f>
        <v>-6487</v>
      </c>
      <c r="G130" s="16">
        <f>SUM(G128:G129)</f>
        <v>0</v>
      </c>
      <c r="H130" s="16">
        <f>SUM(H128:H129)</f>
        <v>-6487</v>
      </c>
      <c r="I130" s="16">
        <f>SUM(I128:I129)</f>
        <v>0</v>
      </c>
      <c r="J130" s="16">
        <f>SUM(J128:J129)</f>
        <v>-6267</v>
      </c>
      <c r="K130" s="16"/>
      <c r="L130" s="16">
        <f>SUM(L128:L129)</f>
        <v>-6267</v>
      </c>
      <c r="M130" s="16">
        <f>SUM(M128:M129)</f>
        <v>0</v>
      </c>
      <c r="N130" s="16"/>
      <c r="O130" s="16">
        <f>SUM(O128:O129)</f>
        <v>0</v>
      </c>
      <c r="P130" s="16">
        <f>SUM(P128:P129)</f>
        <v>0</v>
      </c>
      <c r="Q130" s="16"/>
      <c r="T130" s="16">
        <f>SUM(T128:T129)</f>
        <v>-7969.8</v>
      </c>
      <c r="U130" s="16">
        <f>SUM(U128:U129)</f>
        <v>-10571.2</v>
      </c>
      <c r="V130" s="16">
        <f>SUM(V128:V129)</f>
        <v>0</v>
      </c>
      <c r="W130" s="16">
        <f>SUM(W128:W129)</f>
        <v>-10571.2</v>
      </c>
      <c r="X130" s="16"/>
      <c r="Y130" s="16"/>
      <c r="Z130" s="16"/>
      <c r="AA130" s="16">
        <f>SUM(AA128:AA129)</f>
        <v>-6363</v>
      </c>
      <c r="AB130" s="16"/>
      <c r="AC130" s="16"/>
      <c r="AD130" s="16">
        <f>SUM(AD128:AD129)</f>
        <v>-6471.2</v>
      </c>
      <c r="AE130" s="16"/>
      <c r="AF130" s="16"/>
      <c r="AG130" s="16">
        <f>SUM(AG128:AG129)</f>
        <v>-2272.8</v>
      </c>
      <c r="AH130" s="16"/>
      <c r="AI130" s="16"/>
      <c r="AJ130" s="16"/>
      <c r="AK130" s="16"/>
      <c r="AL130" s="16"/>
      <c r="AM130" s="16">
        <f>SUM(AM128:AM129)</f>
        <v>-6153.8</v>
      </c>
      <c r="AN130" s="16"/>
      <c r="AO130" s="16">
        <f aca="true" t="shared" si="67" ref="AO130:BV130">SUM(AO128:AO129)</f>
        <v>-6153.8</v>
      </c>
      <c r="AP130" s="16">
        <f t="shared" si="67"/>
        <v>0</v>
      </c>
      <c r="AQ130" s="16">
        <f t="shared" si="67"/>
        <v>0</v>
      </c>
      <c r="AR130" s="16">
        <f t="shared" si="67"/>
        <v>0</v>
      </c>
      <c r="AS130" s="16">
        <f t="shared" si="67"/>
        <v>0</v>
      </c>
      <c r="AT130" s="16">
        <f t="shared" si="67"/>
        <v>-6153.8</v>
      </c>
      <c r="AU130" s="16">
        <f t="shared" si="67"/>
        <v>6608.360000000001</v>
      </c>
      <c r="AV130" s="16">
        <f t="shared" si="67"/>
        <v>454.5600000000004</v>
      </c>
      <c r="AW130" s="16">
        <f t="shared" si="67"/>
        <v>-2978</v>
      </c>
      <c r="AX130" s="16">
        <f t="shared" si="67"/>
        <v>-4949.3</v>
      </c>
      <c r="AY130" s="16">
        <f t="shared" si="67"/>
        <v>0</v>
      </c>
      <c r="AZ130" s="16">
        <f t="shared" si="67"/>
        <v>-4949.3</v>
      </c>
      <c r="BA130" s="16">
        <f t="shared" si="67"/>
        <v>-5009</v>
      </c>
      <c r="BB130" s="16">
        <f t="shared" si="67"/>
        <v>4376</v>
      </c>
      <c r="BC130" s="16">
        <f t="shared" si="67"/>
        <v>0</v>
      </c>
      <c r="BD130" s="16">
        <f t="shared" si="67"/>
        <v>-633</v>
      </c>
      <c r="BE130" s="16">
        <f t="shared" si="67"/>
        <v>-2909</v>
      </c>
      <c r="BF130" s="16">
        <f t="shared" si="67"/>
        <v>-486.20000000000005</v>
      </c>
      <c r="BG130" s="16">
        <f t="shared" si="67"/>
        <v>-99</v>
      </c>
      <c r="BH130" s="16">
        <f t="shared" si="67"/>
        <v>0</v>
      </c>
      <c r="BI130" s="16">
        <f t="shared" si="67"/>
        <v>0</v>
      </c>
      <c r="BJ130" s="16">
        <f t="shared" si="67"/>
        <v>0</v>
      </c>
      <c r="BK130" s="16">
        <f t="shared" si="67"/>
        <v>-3494.2</v>
      </c>
      <c r="BL130" s="16">
        <f>SUM(BL128:BL129)</f>
        <v>305</v>
      </c>
      <c r="BM130" s="16">
        <f>SUM(BM128:BM129)</f>
        <v>-3189.2</v>
      </c>
      <c r="BN130" s="16">
        <f>SUM(BN128:BN129)</f>
        <v>1047.2</v>
      </c>
      <c r="BO130" s="16">
        <f>SUM(BO128:BO129)</f>
        <v>86</v>
      </c>
      <c r="BP130" s="16">
        <f>SUM(BP128:BP129)</f>
        <v>-2056</v>
      </c>
      <c r="BQ130" s="16">
        <f t="shared" si="67"/>
        <v>-2512.2000000000003</v>
      </c>
      <c r="BR130" s="16">
        <f>SUM(BR128:BR129)</f>
        <v>-1047.2</v>
      </c>
      <c r="BS130" s="16">
        <f>SUM(BS128:BS129)</f>
        <v>-3559.4</v>
      </c>
      <c r="BT130" s="16">
        <f t="shared" si="67"/>
        <v>-1711.88</v>
      </c>
      <c r="BU130" s="16">
        <f t="shared" si="67"/>
        <v>-1503.3760000000002</v>
      </c>
      <c r="BV130" s="16">
        <f t="shared" si="67"/>
        <v>-1391.6752000000001</v>
      </c>
    </row>
    <row r="131" spans="3:72" ht="12.75">
      <c r="C131" s="44"/>
      <c r="D131" s="1"/>
      <c r="E131" s="1"/>
      <c r="F131" s="15"/>
      <c r="G131" s="15"/>
      <c r="H131" s="16"/>
      <c r="I131" s="16"/>
      <c r="BT131" s="9"/>
    </row>
    <row r="132" spans="3:74" ht="13.5" thickBot="1">
      <c r="C132" s="44" t="s">
        <v>181</v>
      </c>
      <c r="D132" s="1"/>
      <c r="E132" s="1"/>
      <c r="F132" s="66" t="e">
        <f>+F125+F130+F127+#REF!+#REF!</f>
        <v>#REF!</v>
      </c>
      <c r="G132" s="66" t="e">
        <f>+G125+G130+G127+#REF!+#REF!</f>
        <v>#REF!</v>
      </c>
      <c r="H132" s="66" t="e">
        <f>+H125+H130+H127+#REF!+#REF!</f>
        <v>#REF!</v>
      </c>
      <c r="I132" s="66" t="e">
        <f>+I125+I130+I127+#REF!+#REF!</f>
        <v>#REF!</v>
      </c>
      <c r="J132" s="66">
        <f>+J125+J130</f>
        <v>22383</v>
      </c>
      <c r="K132" s="66">
        <f>+K125+K130</f>
        <v>21105</v>
      </c>
      <c r="L132" s="66">
        <f>+L125+L130</f>
        <v>43488</v>
      </c>
      <c r="M132" s="66">
        <f>+M125+M130</f>
        <v>33041</v>
      </c>
      <c r="N132" s="66"/>
      <c r="O132" s="66">
        <f>+O125+O130</f>
        <v>35508</v>
      </c>
      <c r="P132" s="66">
        <f>+P125+P130</f>
        <v>16829</v>
      </c>
      <c r="Q132" s="66"/>
      <c r="S132" s="66"/>
      <c r="T132" s="66">
        <f>+T125+T130</f>
        <v>35448.2</v>
      </c>
      <c r="U132" s="66">
        <f>+U125+U130</f>
        <v>45853.8</v>
      </c>
      <c r="V132" s="66">
        <f>+V125+V130</f>
        <v>4404.632</v>
      </c>
      <c r="W132" s="66">
        <f>+W125+W130</f>
        <v>50258.432</v>
      </c>
      <c r="X132" s="66"/>
      <c r="Y132" s="66"/>
      <c r="Z132" s="66"/>
      <c r="AA132" s="66">
        <f>+AA125+AA130</f>
        <v>30258.631999999998</v>
      </c>
      <c r="AB132" s="66"/>
      <c r="AC132" s="66"/>
      <c r="AD132" s="66">
        <f>+AD125+AD130</f>
        <v>30250.431999999997</v>
      </c>
      <c r="AE132" s="66"/>
      <c r="AF132" s="66"/>
      <c r="AG132" s="66">
        <f>+AG125+AG130</f>
        <v>23760.832</v>
      </c>
      <c r="AH132" s="66"/>
      <c r="AI132" s="66"/>
      <c r="AJ132" s="66"/>
      <c r="AK132" s="66"/>
      <c r="AL132" s="66"/>
      <c r="AM132" s="66">
        <f aca="true" t="shared" si="68" ref="AM132:AZ132">+AM125+AM130</f>
        <v>27550.2</v>
      </c>
      <c r="AN132" s="66">
        <f t="shared" si="68"/>
        <v>7864.086139999999</v>
      </c>
      <c r="AO132" s="66">
        <f t="shared" si="68"/>
        <v>35414.28614</v>
      </c>
      <c r="AP132" s="66">
        <f t="shared" si="68"/>
        <v>0</v>
      </c>
      <c r="AQ132" s="66">
        <f t="shared" si="68"/>
        <v>-400</v>
      </c>
      <c r="AR132" s="66">
        <f t="shared" si="68"/>
        <v>35.508</v>
      </c>
      <c r="AS132" s="66">
        <f t="shared" si="68"/>
        <v>303.135</v>
      </c>
      <c r="AT132" s="66">
        <f t="shared" si="68"/>
        <v>35352.92914</v>
      </c>
      <c r="AU132" s="66">
        <f t="shared" si="68"/>
        <v>17479.86</v>
      </c>
      <c r="AV132" s="66">
        <f t="shared" si="68"/>
        <v>31089.78914</v>
      </c>
      <c r="AW132" s="66">
        <f t="shared" si="68"/>
        <v>14668</v>
      </c>
      <c r="AX132" s="66">
        <f t="shared" si="68"/>
        <v>22543.2</v>
      </c>
      <c r="AY132" s="66">
        <f t="shared" si="68"/>
        <v>3032.40885</v>
      </c>
      <c r="AZ132" s="66">
        <f t="shared" si="68"/>
        <v>25575.608850000004</v>
      </c>
      <c r="BA132" s="66">
        <f>BA125+BA130</f>
        <v>25866</v>
      </c>
      <c r="BB132" s="66">
        <f>BB125+BB130</f>
        <v>0</v>
      </c>
      <c r="BC132" s="66">
        <f>BC125+BC130</f>
        <v>720</v>
      </c>
      <c r="BD132" s="66">
        <f>BD125+BD130</f>
        <v>26586</v>
      </c>
      <c r="BE132" s="66">
        <f aca="true" t="shared" si="69" ref="BE132:BU132">+BE125+BE130</f>
        <v>14658</v>
      </c>
      <c r="BF132" s="66">
        <f t="shared" si="69"/>
        <v>2843.8</v>
      </c>
      <c r="BG132" s="66">
        <f t="shared" si="69"/>
        <v>960.4200000000001</v>
      </c>
      <c r="BH132" s="66">
        <f t="shared" si="69"/>
        <v>0</v>
      </c>
      <c r="BI132" s="66">
        <f t="shared" si="69"/>
        <v>2151</v>
      </c>
      <c r="BJ132" s="66">
        <f t="shared" si="69"/>
        <v>-355</v>
      </c>
      <c r="BK132" s="66">
        <f>+BK125+BK130</f>
        <v>20258.219999999998</v>
      </c>
      <c r="BL132" s="66">
        <f t="shared" si="69"/>
        <v>-1220</v>
      </c>
      <c r="BM132" s="66">
        <f>+BM125+BM130</f>
        <v>19038.219999999998</v>
      </c>
      <c r="BN132" s="66">
        <f>+BN125+BN130</f>
        <v>-4833.8</v>
      </c>
      <c r="BO132" s="66">
        <f>+BO125+BO130</f>
        <v>-598</v>
      </c>
      <c r="BP132" s="66">
        <f>+BP125+BP130</f>
        <v>13606.42</v>
      </c>
      <c r="BQ132" s="66">
        <f t="shared" si="69"/>
        <v>12558.8</v>
      </c>
      <c r="BR132" s="66">
        <f t="shared" si="69"/>
        <v>4833.8</v>
      </c>
      <c r="BS132" s="66">
        <f t="shared" si="69"/>
        <v>17392.6</v>
      </c>
      <c r="BT132" s="66">
        <f t="shared" si="69"/>
        <v>9230.52</v>
      </c>
      <c r="BU132" s="66">
        <f t="shared" si="69"/>
        <v>8546.504</v>
      </c>
      <c r="BV132" s="66">
        <f>+BV125+BV130</f>
        <v>8205.7008</v>
      </c>
    </row>
    <row r="133" spans="3:9" ht="13.5" thickTop="1">
      <c r="C133" s="38"/>
      <c r="H133" s="10"/>
      <c r="I133" s="10"/>
    </row>
    <row r="134" spans="3:9" ht="12.75">
      <c r="C134" s="38"/>
      <c r="H134" s="10"/>
      <c r="I134" s="10"/>
    </row>
    <row r="135" spans="3:47" ht="12.75">
      <c r="C135" s="44" t="s">
        <v>182</v>
      </c>
      <c r="H135" s="10"/>
      <c r="I135" s="10"/>
      <c r="AM135" s="10"/>
      <c r="AO135" s="10"/>
      <c r="AP135" s="10"/>
      <c r="AQ135" s="10"/>
      <c r="AR135" s="10"/>
      <c r="AS135" s="10"/>
      <c r="AT135" s="10"/>
      <c r="AU135" s="10"/>
    </row>
    <row r="136" spans="3:48" ht="12.75">
      <c r="C136" s="44"/>
      <c r="H136" s="10"/>
      <c r="I136" s="10"/>
      <c r="AV136" s="72"/>
    </row>
    <row r="137" spans="3:74" s="9" customFormat="1" ht="12.75">
      <c r="C137" s="31" t="s">
        <v>183</v>
      </c>
      <c r="F137" s="10">
        <v>3707</v>
      </c>
      <c r="G137" s="9">
        <v>1918</v>
      </c>
      <c r="H137" s="10">
        <f>SUM(F137:G137)</f>
        <v>5625</v>
      </c>
      <c r="I137" s="10">
        <f>H137</f>
        <v>5625</v>
      </c>
      <c r="J137" s="10"/>
      <c r="K137" s="10"/>
      <c r="L137" s="10"/>
      <c r="M137" s="10">
        <v>5625</v>
      </c>
      <c r="N137" s="10"/>
      <c r="O137" s="10">
        <v>5625</v>
      </c>
      <c r="P137" s="10"/>
      <c r="Q137" s="10"/>
      <c r="T137" s="10"/>
      <c r="U137" s="10"/>
      <c r="V137" s="10"/>
      <c r="W137" s="10"/>
      <c r="X137" s="10"/>
      <c r="Y137" s="10"/>
      <c r="Z137" s="10"/>
      <c r="AA137" s="10">
        <v>5625</v>
      </c>
      <c r="AB137" s="10"/>
      <c r="AC137" s="10"/>
      <c r="AD137" s="10">
        <v>5625</v>
      </c>
      <c r="AE137" s="10"/>
      <c r="AF137" s="10"/>
      <c r="AG137" s="10">
        <v>5625</v>
      </c>
      <c r="AH137" s="10"/>
      <c r="AI137" s="10"/>
      <c r="AJ137" s="10"/>
      <c r="AK137" s="10"/>
      <c r="AL137" s="10"/>
      <c r="AM137" s="10">
        <v>5625</v>
      </c>
      <c r="AN137" s="10"/>
      <c r="AO137" s="10">
        <v>5625</v>
      </c>
      <c r="AP137" s="10"/>
      <c r="AQ137" s="10"/>
      <c r="AR137" s="10"/>
      <c r="AS137" s="10"/>
      <c r="AT137" s="73">
        <v>5208.735</v>
      </c>
      <c r="AU137" s="73"/>
      <c r="AV137" s="74">
        <v>5209</v>
      </c>
      <c r="AW137" s="10">
        <v>5062</v>
      </c>
      <c r="AX137" s="10">
        <v>3300</v>
      </c>
      <c r="AY137" s="10"/>
      <c r="AZ137" s="10">
        <f>AX137+AY137</f>
        <v>3300</v>
      </c>
      <c r="BA137" s="10">
        <v>3300</v>
      </c>
      <c r="BB137" s="10"/>
      <c r="BC137" s="10"/>
      <c r="BD137" s="75">
        <f>SUM(BA137:BC137)</f>
        <v>3300</v>
      </c>
      <c r="BE137" s="10">
        <v>4600</v>
      </c>
      <c r="BF137" s="10"/>
      <c r="BG137" s="10"/>
      <c r="BH137" s="10"/>
      <c r="BI137" s="10"/>
      <c r="BJ137" s="10"/>
      <c r="BK137" s="10">
        <f>SUM(BE137:BJ137)</f>
        <v>4600</v>
      </c>
      <c r="BL137" s="10"/>
      <c r="BM137" s="10">
        <f aca="true" t="shared" si="70" ref="BM137:BM144">SUM(BK137:BL137)</f>
        <v>4600</v>
      </c>
      <c r="BN137" s="10"/>
      <c r="BO137" s="10"/>
      <c r="BP137" s="10">
        <f>SUM(BM137:BO137)</f>
        <v>4600</v>
      </c>
      <c r="BQ137" s="10">
        <v>4169</v>
      </c>
      <c r="BR137" s="10"/>
      <c r="BS137" s="10">
        <f>SUM(BQ137:BR137)</f>
        <v>4169</v>
      </c>
      <c r="BT137" s="10">
        <v>4300</v>
      </c>
      <c r="BU137" s="9">
        <v>4500</v>
      </c>
      <c r="BV137" s="9">
        <v>4500</v>
      </c>
    </row>
    <row r="138" spans="3:72" s="9" customFormat="1" ht="12.75">
      <c r="C138" s="37" t="s">
        <v>184</v>
      </c>
      <c r="F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73"/>
      <c r="AU138" s="73"/>
      <c r="AV138" s="74"/>
      <c r="AW138" s="10"/>
      <c r="AX138" s="10"/>
      <c r="AY138" s="10"/>
      <c r="AZ138" s="10"/>
      <c r="BA138" s="10"/>
      <c r="BB138" s="10"/>
      <c r="BC138" s="10"/>
      <c r="BD138" s="75"/>
      <c r="BE138" s="10"/>
      <c r="BF138" s="10"/>
      <c r="BG138" s="10">
        <f>116</f>
        <v>116</v>
      </c>
      <c r="BH138" s="10"/>
      <c r="BI138" s="10"/>
      <c r="BJ138" s="10"/>
      <c r="BK138" s="10">
        <f aca="true" t="shared" si="71" ref="BK138:BK144">SUM(BE138:BJ138)</f>
        <v>116</v>
      </c>
      <c r="BL138" s="10"/>
      <c r="BM138" s="10">
        <f t="shared" si="70"/>
        <v>116</v>
      </c>
      <c r="BN138" s="10"/>
      <c r="BO138" s="10"/>
      <c r="BP138" s="10">
        <f aca="true" t="shared" si="72" ref="BP138:BP144">SUM(BM138:BO138)</f>
        <v>116</v>
      </c>
      <c r="BQ138" s="10"/>
      <c r="BR138" s="10"/>
      <c r="BS138" s="10">
        <f aca="true" t="shared" si="73" ref="BS138:BS144">SUM(BQ138:BR138)</f>
        <v>0</v>
      </c>
      <c r="BT138" s="10"/>
    </row>
    <row r="139" spans="3:75" s="9" customFormat="1" ht="12.75">
      <c r="C139" s="37" t="s">
        <v>185</v>
      </c>
      <c r="F139" s="10"/>
      <c r="H139" s="10"/>
      <c r="I139" s="10"/>
      <c r="M139" s="35">
        <v>1786</v>
      </c>
      <c r="N139" s="35"/>
      <c r="O139" s="35">
        <v>4502</v>
      </c>
      <c r="P139" s="34"/>
      <c r="Q139" s="34"/>
      <c r="S139" s="34"/>
      <c r="T139" s="34"/>
      <c r="U139" s="34"/>
      <c r="V139" s="34"/>
      <c r="W139" s="34"/>
      <c r="X139" s="34"/>
      <c r="Y139" s="34"/>
      <c r="Z139" s="34"/>
      <c r="AA139" s="34">
        <f>AA43+AA55+AA109+80+184-1</f>
        <v>1329</v>
      </c>
      <c r="AB139" s="34"/>
      <c r="AC139" s="34"/>
      <c r="AD139" s="34">
        <f>AD43+AD55+AD109+80+184-1</f>
        <v>1329</v>
      </c>
      <c r="AE139" s="34"/>
      <c r="AF139" s="34"/>
      <c r="AG139" s="34">
        <f>AG43+AG55+AG109+80+184-1</f>
        <v>1329</v>
      </c>
      <c r="AH139" s="34"/>
      <c r="AI139" s="34"/>
      <c r="AJ139" s="34"/>
      <c r="AK139" s="34"/>
      <c r="AL139" s="34"/>
      <c r="AM139" s="34"/>
      <c r="AN139" s="33"/>
      <c r="AO139" s="33">
        <f>19.445+15.808+658.12476+15.21306+91.23179+193.26562</f>
        <v>993.0882300000002</v>
      </c>
      <c r="AP139" s="33"/>
      <c r="AQ139" s="33"/>
      <c r="AR139" s="33"/>
      <c r="AS139" s="33"/>
      <c r="AT139" s="76">
        <v>1240.622</v>
      </c>
      <c r="AU139" s="73"/>
      <c r="AV139" s="74">
        <f>1221.464+218.802+7.822</f>
        <v>1448.0879999999997</v>
      </c>
      <c r="AW139" s="37"/>
      <c r="AX139" s="37"/>
      <c r="AY139" s="35">
        <f>79.59952-60+35.15968+7.07+58.31022+176.49872-67.85668</f>
        <v>228.78146000000004</v>
      </c>
      <c r="AZ139" s="35">
        <f>AY139</f>
        <v>228.78146000000004</v>
      </c>
      <c r="BA139" s="35">
        <v>229</v>
      </c>
      <c r="BB139" s="35"/>
      <c r="BC139" s="35">
        <v>720</v>
      </c>
      <c r="BD139" s="75">
        <f>SUM(BA139:BC139)</f>
        <v>949</v>
      </c>
      <c r="BE139" s="10"/>
      <c r="BF139" s="10">
        <v>87</v>
      </c>
      <c r="BG139" s="10">
        <f>75+47.42-6+300+50</f>
        <v>466.42</v>
      </c>
      <c r="BH139" s="10"/>
      <c r="BI139" s="10"/>
      <c r="BJ139" s="10"/>
      <c r="BK139" s="10">
        <f t="shared" si="71"/>
        <v>553.4200000000001</v>
      </c>
      <c r="BL139" s="10"/>
      <c r="BM139" s="10">
        <f t="shared" si="70"/>
        <v>553.4200000000001</v>
      </c>
      <c r="BN139" s="10"/>
      <c r="BO139" s="10"/>
      <c r="BP139" s="10">
        <f t="shared" si="72"/>
        <v>553.4200000000001</v>
      </c>
      <c r="BS139" s="10">
        <f t="shared" si="73"/>
        <v>0</v>
      </c>
      <c r="BW139" s="77"/>
    </row>
    <row r="140" spans="3:75" s="9" customFormat="1" ht="12.75">
      <c r="C140" s="37" t="s">
        <v>186</v>
      </c>
      <c r="F140" s="10"/>
      <c r="H140" s="10"/>
      <c r="I140" s="10"/>
      <c r="M140" s="35"/>
      <c r="N140" s="35"/>
      <c r="O140" s="35"/>
      <c r="P140" s="34"/>
      <c r="Q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3"/>
      <c r="AO140" s="33"/>
      <c r="AP140" s="33"/>
      <c r="AQ140" s="33"/>
      <c r="AR140" s="33"/>
      <c r="AS140" s="33"/>
      <c r="AT140" s="73"/>
      <c r="AU140" s="73"/>
      <c r="AV140" s="74"/>
      <c r="AW140" s="37"/>
      <c r="AX140" s="37"/>
      <c r="AY140" s="35"/>
      <c r="AZ140" s="35"/>
      <c r="BA140" s="35"/>
      <c r="BB140" s="35"/>
      <c r="BC140" s="35"/>
      <c r="BD140" s="75"/>
      <c r="BE140" s="10"/>
      <c r="BF140" s="10">
        <v>4</v>
      </c>
      <c r="BG140" s="10">
        <f>496-19</f>
        <v>477</v>
      </c>
      <c r="BH140" s="10"/>
      <c r="BI140" s="10"/>
      <c r="BJ140" s="10"/>
      <c r="BK140" s="10">
        <f t="shared" si="71"/>
        <v>481</v>
      </c>
      <c r="BL140" s="10"/>
      <c r="BM140" s="10">
        <f t="shared" si="70"/>
        <v>481</v>
      </c>
      <c r="BN140" s="10"/>
      <c r="BO140" s="10"/>
      <c r="BP140" s="10">
        <f t="shared" si="72"/>
        <v>481</v>
      </c>
      <c r="BS140" s="10">
        <f t="shared" si="73"/>
        <v>0</v>
      </c>
      <c r="BW140" s="77"/>
    </row>
    <row r="141" spans="3:74" s="9" customFormat="1" ht="12.75">
      <c r="C141" s="37" t="s">
        <v>187</v>
      </c>
      <c r="F141" s="10" t="e">
        <f>+F132-F137-#REF!-#REF!-#REF!-F142-F144</f>
        <v>#REF!</v>
      </c>
      <c r="G141" s="9">
        <f>1269-1918</f>
        <v>-649</v>
      </c>
      <c r="H141" s="10" t="e">
        <f>SUM(F141:G141)</f>
        <v>#REF!</v>
      </c>
      <c r="I141" s="10" t="e">
        <f>H141</f>
        <v>#REF!</v>
      </c>
      <c r="J141" s="10"/>
      <c r="K141" s="10"/>
      <c r="L141" s="10"/>
      <c r="M141" s="33">
        <f>M132-SUM(M137:M139,M144,M142)</f>
        <v>24930</v>
      </c>
      <c r="N141" s="33"/>
      <c r="O141" s="33">
        <f>O132-SUM(O137:O139,O144,O142)</f>
        <v>24758</v>
      </c>
      <c r="P141" s="33">
        <f>P132-SUM(P137:P139,P144,P142)</f>
        <v>16829</v>
      </c>
      <c r="Q141" s="33"/>
      <c r="S141" s="33"/>
      <c r="T141" s="33">
        <f>T132-SUM(T137:T139,T144,T142)</f>
        <v>35448.2</v>
      </c>
      <c r="U141" s="33"/>
      <c r="V141" s="33"/>
      <c r="W141" s="33"/>
      <c r="X141" s="33"/>
      <c r="Y141" s="33"/>
      <c r="Z141" s="33"/>
      <c r="AA141" s="33">
        <f>AA132-SUM(AA137:AA139,AA144,AA142)</f>
        <v>22634.631999999998</v>
      </c>
      <c r="AB141" s="33"/>
      <c r="AC141" s="33"/>
      <c r="AD141" s="33">
        <f>AD132-SUM(AD137:AD139,AD144,AD142)</f>
        <v>22526.431999999997</v>
      </c>
      <c r="AE141" s="33"/>
      <c r="AF141" s="33"/>
      <c r="AG141" s="33">
        <f>AG132-SUM(AG137:AG139,AG144,AG142)</f>
        <v>16206.831999999999</v>
      </c>
      <c r="AH141" s="33"/>
      <c r="AI141" s="33"/>
      <c r="AJ141" s="33"/>
      <c r="AK141" s="33"/>
      <c r="AL141" s="33"/>
      <c r="AM141" s="33">
        <f>AM132-SUM(AM137:AM139,AM144,AM142)</f>
        <v>20510.2</v>
      </c>
      <c r="AN141" s="33"/>
      <c r="AO141" s="33">
        <f>AO132-SUM(AO137:AO139,AO144,AO142)</f>
        <v>27381.197909999995</v>
      </c>
      <c r="AP141" s="33"/>
      <c r="AQ141" s="33"/>
      <c r="AR141" s="33"/>
      <c r="AS141" s="33"/>
      <c r="AT141" s="73">
        <f>AT132-(SUM(AT137:AT139,AT142:AT144))</f>
        <v>27179.57214</v>
      </c>
      <c r="AU141" s="73"/>
      <c r="AV141" s="35">
        <v>19386.71714</v>
      </c>
      <c r="AW141" s="35">
        <f>AW132-(SUM(AW137:AW139,AW142:AW144))</f>
        <v>6151</v>
      </c>
      <c r="AX141" s="35">
        <f>AX132-(SUM(AX137:AX139,AX142:AX144))</f>
        <v>17743.2</v>
      </c>
      <c r="AY141" s="35">
        <f>AY132-AY139</f>
        <v>2803.6273899999997</v>
      </c>
      <c r="AZ141" s="35">
        <f>AZ132-(SUM(AZ137:AZ139,AZ142:AZ144))</f>
        <v>20546.827390000006</v>
      </c>
      <c r="BA141" s="35">
        <v>20787</v>
      </c>
      <c r="BB141" s="35"/>
      <c r="BC141" s="35">
        <f>450</f>
        <v>450</v>
      </c>
      <c r="BD141" s="75">
        <f>SUM(BA141:BC141)</f>
        <v>21237</v>
      </c>
      <c r="BE141" s="35">
        <f>BE132-(SUM(BE137:BE140,BE142:BE144))</f>
        <v>7058</v>
      </c>
      <c r="BF141" s="35">
        <f>BF132-4-87</f>
        <v>2752.8</v>
      </c>
      <c r="BG141" s="35">
        <v>-99</v>
      </c>
      <c r="BH141" s="35">
        <f>609.3-42</f>
        <v>567.3</v>
      </c>
      <c r="BI141" s="35"/>
      <c r="BJ141" s="10">
        <v>-355</v>
      </c>
      <c r="BK141" s="10">
        <f t="shared" si="71"/>
        <v>9924.099999999999</v>
      </c>
      <c r="BL141" s="10">
        <v>-1220</v>
      </c>
      <c r="BM141" s="10">
        <f>SUM(BK141:BL141)</f>
        <v>8704.099999999999</v>
      </c>
      <c r="BN141" s="10">
        <f>BN132</f>
        <v>-4833.8</v>
      </c>
      <c r="BO141" s="10">
        <f>BO132</f>
        <v>-598</v>
      </c>
      <c r="BP141" s="10">
        <f t="shared" si="72"/>
        <v>3272.2999999999984</v>
      </c>
      <c r="BQ141" s="35">
        <f>BQ132-(SUM(BQ137:BQ139,BQ142:BQ144))</f>
        <v>5521.799999999999</v>
      </c>
      <c r="BR141" s="35">
        <f>BR132</f>
        <v>4833.8</v>
      </c>
      <c r="BS141" s="10">
        <f t="shared" si="73"/>
        <v>10355.599999999999</v>
      </c>
      <c r="BT141" s="35">
        <f>BT132-(SUM(BT137:BT139,BT142:BT144))</f>
        <v>835.5200000000004</v>
      </c>
      <c r="BU141" s="35">
        <f>BU132-(SUM(BU137:BU139,BU142:BU144))</f>
        <v>186.50400000000081</v>
      </c>
      <c r="BV141" s="35">
        <f>BV132-(SUM(BV137:BV139,BV142:BV144))</f>
        <v>1455.7008000000005</v>
      </c>
    </row>
    <row r="142" spans="3:74" s="9" customFormat="1" ht="12.75">
      <c r="C142" s="31" t="s">
        <v>188</v>
      </c>
      <c r="F142" s="10">
        <v>500</v>
      </c>
      <c r="G142" s="9">
        <f>41+90</f>
        <v>131</v>
      </c>
      <c r="H142" s="10">
        <f>SUM(F142:G142)</f>
        <v>631</v>
      </c>
      <c r="I142" s="10">
        <f>H142</f>
        <v>631</v>
      </c>
      <c r="J142" s="10"/>
      <c r="K142" s="10"/>
      <c r="L142" s="10"/>
      <c r="M142" s="33">
        <v>500</v>
      </c>
      <c r="N142" s="33"/>
      <c r="O142" s="33">
        <v>510</v>
      </c>
      <c r="P142" s="33"/>
      <c r="Q142" s="33"/>
      <c r="S142" s="34"/>
      <c r="T142" s="33"/>
      <c r="U142" s="33"/>
      <c r="V142" s="33"/>
      <c r="W142" s="33"/>
      <c r="X142" s="33"/>
      <c r="Y142" s="33"/>
      <c r="Z142" s="33"/>
      <c r="AA142" s="33">
        <v>500</v>
      </c>
      <c r="AB142" s="33"/>
      <c r="AC142" s="33"/>
      <c r="AD142" s="33">
        <f>500+100</f>
        <v>600</v>
      </c>
      <c r="AE142" s="33"/>
      <c r="AF142" s="33"/>
      <c r="AG142" s="33">
        <f>500+100</f>
        <v>600</v>
      </c>
      <c r="AH142" s="33"/>
      <c r="AI142" s="33"/>
      <c r="AJ142" s="33"/>
      <c r="AK142" s="33"/>
      <c r="AL142" s="33"/>
      <c r="AM142" s="33">
        <v>500</v>
      </c>
      <c r="AN142" s="33"/>
      <c r="AO142" s="33">
        <v>500</v>
      </c>
      <c r="AP142" s="33"/>
      <c r="AQ142" s="33"/>
      <c r="AR142" s="33"/>
      <c r="AS142" s="33"/>
      <c r="AT142" s="76">
        <v>809</v>
      </c>
      <c r="AU142" s="73"/>
      <c r="AV142" s="74">
        <f>809-19+13.75+196.46825+5.405</f>
        <v>1005.62325</v>
      </c>
      <c r="AW142" s="35">
        <v>500</v>
      </c>
      <c r="AX142" s="35">
        <v>500</v>
      </c>
      <c r="AY142" s="35"/>
      <c r="AZ142" s="35">
        <v>500</v>
      </c>
      <c r="BA142" s="35">
        <v>550</v>
      </c>
      <c r="BB142" s="35"/>
      <c r="BC142" s="35"/>
      <c r="BD142" s="75">
        <f>SUM(BA142:BC142)</f>
        <v>550</v>
      </c>
      <c r="BE142" s="33">
        <v>500</v>
      </c>
      <c r="BF142" s="33"/>
      <c r="BG142" s="33"/>
      <c r="BH142" s="33"/>
      <c r="BI142" s="33">
        <f>192+90+265+800+600+150+54</f>
        <v>2151</v>
      </c>
      <c r="BJ142" s="10"/>
      <c r="BK142" s="10">
        <f t="shared" si="71"/>
        <v>2651</v>
      </c>
      <c r="BL142" s="10"/>
      <c r="BM142" s="10">
        <f>SUM(BK142:BL142)-1065</f>
        <v>1586</v>
      </c>
      <c r="BN142" s="10"/>
      <c r="BO142" s="10"/>
      <c r="BP142" s="10">
        <f>SUM(BM142:BO142)</f>
        <v>1586</v>
      </c>
      <c r="BQ142" s="33">
        <v>500</v>
      </c>
      <c r="BR142" s="33"/>
      <c r="BS142" s="10">
        <f t="shared" si="73"/>
        <v>500</v>
      </c>
      <c r="BT142" s="33">
        <v>500</v>
      </c>
      <c r="BU142" s="9">
        <v>500</v>
      </c>
      <c r="BV142" s="9">
        <v>500</v>
      </c>
    </row>
    <row r="143" spans="3:72" s="9" customFormat="1" ht="12.75">
      <c r="C143" s="31" t="s">
        <v>307</v>
      </c>
      <c r="F143" s="10"/>
      <c r="H143" s="10"/>
      <c r="I143" s="10"/>
      <c r="J143" s="10"/>
      <c r="K143" s="10"/>
      <c r="L143" s="10"/>
      <c r="M143" s="33"/>
      <c r="N143" s="33"/>
      <c r="O143" s="33"/>
      <c r="P143" s="33"/>
      <c r="Q143" s="33"/>
      <c r="S143" s="34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76"/>
      <c r="AU143" s="73"/>
      <c r="AV143" s="74"/>
      <c r="AW143" s="35"/>
      <c r="AX143" s="35"/>
      <c r="AY143" s="35"/>
      <c r="AZ143" s="35"/>
      <c r="BA143" s="35"/>
      <c r="BB143" s="35"/>
      <c r="BC143" s="35"/>
      <c r="BD143" s="75"/>
      <c r="BE143" s="33"/>
      <c r="BF143" s="33"/>
      <c r="BG143" s="33"/>
      <c r="BH143" s="33"/>
      <c r="BI143" s="33"/>
      <c r="BJ143" s="10"/>
      <c r="BK143" s="10"/>
      <c r="BL143" s="10"/>
      <c r="BM143" s="10">
        <v>1065</v>
      </c>
      <c r="BN143" s="10"/>
      <c r="BO143" s="10"/>
      <c r="BP143" s="10">
        <v>1065</v>
      </c>
      <c r="BQ143" s="33"/>
      <c r="BR143" s="33"/>
      <c r="BS143" s="10"/>
      <c r="BT143" s="33"/>
    </row>
    <row r="144" spans="3:74" s="9" customFormat="1" ht="12.75">
      <c r="C144" s="31" t="s">
        <v>189</v>
      </c>
      <c r="F144" s="10">
        <v>100</v>
      </c>
      <c r="H144" s="10">
        <f>SUM(F144:G144)</f>
        <v>100</v>
      </c>
      <c r="I144" s="10">
        <f>H144</f>
        <v>100</v>
      </c>
      <c r="J144" s="10"/>
      <c r="K144" s="10"/>
      <c r="L144" s="10"/>
      <c r="M144" s="10">
        <v>200</v>
      </c>
      <c r="N144" s="10"/>
      <c r="O144" s="10">
        <v>113</v>
      </c>
      <c r="P144" s="10"/>
      <c r="Q144" s="10"/>
      <c r="T144" s="10"/>
      <c r="U144" s="10"/>
      <c r="V144" s="10"/>
      <c r="W144" s="10"/>
      <c r="X144" s="10"/>
      <c r="Y144" s="10"/>
      <c r="Z144" s="10"/>
      <c r="AA144" s="10">
        <v>170</v>
      </c>
      <c r="AB144" s="10"/>
      <c r="AC144" s="10"/>
      <c r="AD144" s="10">
        <v>170</v>
      </c>
      <c r="AE144" s="10"/>
      <c r="AF144" s="10"/>
      <c r="AG144" s="10"/>
      <c r="AH144" s="10"/>
      <c r="AI144" s="10"/>
      <c r="AJ144" s="10"/>
      <c r="AK144" s="10"/>
      <c r="AL144" s="10"/>
      <c r="AM144" s="10">
        <f>SUM(AM152:AM163)/1000</f>
        <v>915</v>
      </c>
      <c r="AN144" s="10"/>
      <c r="AO144" s="10">
        <f>AM144</f>
        <v>915</v>
      </c>
      <c r="AP144" s="10"/>
      <c r="AQ144" s="10"/>
      <c r="AR144" s="10"/>
      <c r="AS144" s="10"/>
      <c r="AT144" s="78">
        <v>915</v>
      </c>
      <c r="AU144" s="79"/>
      <c r="AV144" s="80">
        <v>915</v>
      </c>
      <c r="AW144" s="48">
        <f>SUM(AW152:AW170)/1000</f>
        <v>2955</v>
      </c>
      <c r="AX144" s="48">
        <v>1000</v>
      </c>
      <c r="AY144" s="48"/>
      <c r="AZ144" s="48">
        <v>1000</v>
      </c>
      <c r="BA144" s="48">
        <v>1000</v>
      </c>
      <c r="BB144" s="48"/>
      <c r="BC144" s="48">
        <v>-450</v>
      </c>
      <c r="BD144" s="75">
        <f>SUM(BA144:BC144)</f>
        <v>550</v>
      </c>
      <c r="BE144" s="48">
        <f>SUM(BE152:BE170)/1000+1500</f>
        <v>2500</v>
      </c>
      <c r="BF144" s="48"/>
      <c r="BG144" s="35"/>
      <c r="BH144" s="35">
        <f>-609.3+42</f>
        <v>-567.3</v>
      </c>
      <c r="BI144" s="35"/>
      <c r="BJ144" s="10"/>
      <c r="BK144" s="10">
        <f t="shared" si="71"/>
        <v>1932.7</v>
      </c>
      <c r="BL144" s="10"/>
      <c r="BM144" s="10">
        <f t="shared" si="70"/>
        <v>1932.7</v>
      </c>
      <c r="BN144" s="10"/>
      <c r="BO144" s="10"/>
      <c r="BP144" s="10">
        <f t="shared" si="72"/>
        <v>1932.7</v>
      </c>
      <c r="BQ144" s="48">
        <v>2368</v>
      </c>
      <c r="BR144" s="48"/>
      <c r="BS144" s="10">
        <f t="shared" si="73"/>
        <v>2368</v>
      </c>
      <c r="BT144" s="48">
        <v>3595</v>
      </c>
      <c r="BU144" s="9">
        <v>3360</v>
      </c>
      <c r="BV144" s="9">
        <v>1750</v>
      </c>
    </row>
    <row r="145" spans="3:74" s="9" customFormat="1" ht="13.5" thickBot="1">
      <c r="C145" s="81" t="s">
        <v>190</v>
      </c>
      <c r="F145" s="66" t="e">
        <f>SUM(F137:F144)</f>
        <v>#REF!</v>
      </c>
      <c r="G145" s="66">
        <f>SUM(G137:G144)</f>
        <v>1400</v>
      </c>
      <c r="H145" s="66" t="e">
        <f>SUM(H137:H144)</f>
        <v>#REF!</v>
      </c>
      <c r="I145" s="66" t="e">
        <f>SUM(I137:I144)</f>
        <v>#REF!</v>
      </c>
      <c r="J145" s="66"/>
      <c r="K145" s="66"/>
      <c r="L145" s="66"/>
      <c r="M145" s="66">
        <f>SUM(M137:M144)</f>
        <v>33041</v>
      </c>
      <c r="N145" s="66"/>
      <c r="O145" s="66">
        <f>SUM(O137:O144)</f>
        <v>35508</v>
      </c>
      <c r="P145" s="66">
        <f>SUM(P137:P144)</f>
        <v>16829</v>
      </c>
      <c r="Q145" s="66"/>
      <c r="S145" s="66"/>
      <c r="T145" s="66">
        <f>SUM(T137:T144)</f>
        <v>35448.2</v>
      </c>
      <c r="U145" s="66"/>
      <c r="V145" s="66"/>
      <c r="W145" s="66"/>
      <c r="X145" s="66"/>
      <c r="Y145" s="66"/>
      <c r="Z145" s="66"/>
      <c r="AA145" s="66">
        <f>SUM(AA137:AA144)</f>
        <v>30258.631999999998</v>
      </c>
      <c r="AB145" s="66"/>
      <c r="AC145" s="66"/>
      <c r="AD145" s="66">
        <f>SUM(AD137:AD144)</f>
        <v>30250.431999999997</v>
      </c>
      <c r="AE145" s="66"/>
      <c r="AF145" s="66"/>
      <c r="AG145" s="66">
        <f>SUM(AG137:AG144)</f>
        <v>23760.832</v>
      </c>
      <c r="AH145" s="66"/>
      <c r="AI145" s="66"/>
      <c r="AJ145" s="66"/>
      <c r="AK145" s="66"/>
      <c r="AL145" s="66"/>
      <c r="AM145" s="66">
        <f>SUM(AM137:AM144)</f>
        <v>27550.2</v>
      </c>
      <c r="AN145" s="66"/>
      <c r="AO145" s="66">
        <f>SUM(AO137:AO144)</f>
        <v>35414.28614</v>
      </c>
      <c r="AP145" s="66"/>
      <c r="AQ145" s="66"/>
      <c r="AR145" s="66"/>
      <c r="AS145" s="66"/>
      <c r="AT145" s="66">
        <f>SUM(AT137:AT144)</f>
        <v>35352.92914</v>
      </c>
      <c r="AU145" s="66"/>
      <c r="AV145" s="66">
        <f aca="true" t="shared" si="74" ref="AV145:BV145">SUM(AV137:AV144)</f>
        <v>27964.42839</v>
      </c>
      <c r="AW145" s="66">
        <f t="shared" si="74"/>
        <v>14668</v>
      </c>
      <c r="AX145" s="66">
        <f t="shared" si="74"/>
        <v>22543.2</v>
      </c>
      <c r="AY145" s="66">
        <f t="shared" si="74"/>
        <v>3032.40885</v>
      </c>
      <c r="AZ145" s="66">
        <f t="shared" si="74"/>
        <v>25575.608850000004</v>
      </c>
      <c r="BA145" s="66">
        <f t="shared" si="74"/>
        <v>25866</v>
      </c>
      <c r="BB145" s="66">
        <f t="shared" si="74"/>
        <v>0</v>
      </c>
      <c r="BC145" s="66">
        <f t="shared" si="74"/>
        <v>720</v>
      </c>
      <c r="BD145" s="66">
        <f t="shared" si="74"/>
        <v>26586</v>
      </c>
      <c r="BE145" s="66">
        <f t="shared" si="74"/>
        <v>14658</v>
      </c>
      <c r="BF145" s="66">
        <f t="shared" si="74"/>
        <v>2843.8</v>
      </c>
      <c r="BG145" s="66">
        <f>SUM(BG137:BG144)</f>
        <v>960.4200000000001</v>
      </c>
      <c r="BH145" s="66">
        <f t="shared" si="74"/>
        <v>0</v>
      </c>
      <c r="BI145" s="66">
        <f t="shared" si="74"/>
        <v>2151</v>
      </c>
      <c r="BJ145" s="66">
        <f t="shared" si="74"/>
        <v>-355</v>
      </c>
      <c r="BK145" s="66">
        <f t="shared" si="74"/>
        <v>20258.219999999998</v>
      </c>
      <c r="BL145" s="66">
        <f>SUM(BL137:BL144)</f>
        <v>-1220</v>
      </c>
      <c r="BM145" s="66">
        <f>SUM(BM137:BM144)</f>
        <v>19038.219999999998</v>
      </c>
      <c r="BN145" s="66">
        <f>SUM(BN137:BN144)</f>
        <v>-4833.8</v>
      </c>
      <c r="BO145" s="66">
        <f>SUM(BO137:BO144)</f>
        <v>-598</v>
      </c>
      <c r="BP145" s="66">
        <f>SUM(BP137:BP144)</f>
        <v>13606.419999999998</v>
      </c>
      <c r="BQ145" s="66">
        <f t="shared" si="74"/>
        <v>12558.8</v>
      </c>
      <c r="BR145" s="66">
        <f>SUM(BR137:BR144)</f>
        <v>4833.8</v>
      </c>
      <c r="BS145" s="66">
        <f>SUM(BS137:BS144)</f>
        <v>17392.6</v>
      </c>
      <c r="BT145" s="66">
        <f t="shared" si="74"/>
        <v>9230.52</v>
      </c>
      <c r="BU145" s="66">
        <f t="shared" si="74"/>
        <v>8546.504</v>
      </c>
      <c r="BV145" s="66">
        <f t="shared" si="74"/>
        <v>8205.7008</v>
      </c>
    </row>
    <row r="146" spans="1:19" ht="13.5" thickTop="1">
      <c r="A146" s="9"/>
      <c r="B146" s="9"/>
      <c r="C146" s="31"/>
      <c r="D146" s="9"/>
      <c r="E146" s="9"/>
      <c r="R146" s="9"/>
      <c r="S146" s="9"/>
    </row>
    <row r="147" ht="12.75">
      <c r="C147" s="38"/>
    </row>
    <row r="148" ht="12.75">
      <c r="C148" s="38"/>
    </row>
    <row r="149" ht="12.75">
      <c r="C149" s="38"/>
    </row>
    <row r="150" ht="12.75" hidden="1">
      <c r="C150" s="38"/>
    </row>
    <row r="151" ht="12.75" hidden="1">
      <c r="C151" s="38"/>
    </row>
    <row r="152" spans="1:48" ht="12.75" hidden="1">
      <c r="A152" s="82" t="s">
        <v>191</v>
      </c>
      <c r="C152" s="83" t="s">
        <v>192</v>
      </c>
      <c r="AM152" s="84">
        <v>150000</v>
      </c>
      <c r="AN152" s="85"/>
      <c r="AO152" s="86"/>
      <c r="AP152" s="86"/>
      <c r="AQ152" s="86"/>
      <c r="AR152" s="86"/>
      <c r="AS152" s="86"/>
      <c r="AT152" s="84">
        <v>150000</v>
      </c>
      <c r="AU152" s="86"/>
      <c r="AV152" s="85"/>
    </row>
    <row r="153" spans="1:48" ht="12.75" hidden="1">
      <c r="A153" s="82" t="s">
        <v>193</v>
      </c>
      <c r="C153" s="83" t="s">
        <v>194</v>
      </c>
      <c r="AM153" s="84">
        <v>200000</v>
      </c>
      <c r="AN153" s="85"/>
      <c r="AO153" s="86"/>
      <c r="AP153" s="86"/>
      <c r="AQ153" s="86"/>
      <c r="AR153" s="86"/>
      <c r="AS153" s="86"/>
      <c r="AT153" s="84">
        <v>144000</v>
      </c>
      <c r="AU153" s="86"/>
      <c r="AV153" s="85"/>
    </row>
    <row r="154" spans="1:48" ht="12.75" hidden="1">
      <c r="A154" s="82" t="s">
        <v>195</v>
      </c>
      <c r="C154" s="83" t="s">
        <v>196</v>
      </c>
      <c r="AM154" s="84">
        <v>150000</v>
      </c>
      <c r="AN154" s="85"/>
      <c r="AO154" s="86"/>
      <c r="AP154" s="86"/>
      <c r="AQ154" s="86"/>
      <c r="AR154" s="86"/>
      <c r="AS154" s="86"/>
      <c r="AT154" s="84">
        <v>121000</v>
      </c>
      <c r="AU154" s="86"/>
      <c r="AV154" s="85"/>
    </row>
    <row r="155" spans="1:48" ht="12.75" hidden="1">
      <c r="A155" s="82" t="s">
        <v>197</v>
      </c>
      <c r="C155" s="83" t="s">
        <v>198</v>
      </c>
      <c r="AM155" s="84">
        <v>170000</v>
      </c>
      <c r="AN155" s="85"/>
      <c r="AO155" s="86"/>
      <c r="AP155" s="86"/>
      <c r="AQ155" s="86"/>
      <c r="AR155" s="86"/>
      <c r="AS155" s="86"/>
      <c r="AT155" s="84">
        <v>150000</v>
      </c>
      <c r="AU155" s="86"/>
      <c r="AV155" s="85"/>
    </row>
    <row r="156" spans="1:48" ht="12.75" hidden="1">
      <c r="A156" s="82" t="s">
        <v>199</v>
      </c>
      <c r="C156" s="83" t="s">
        <v>200</v>
      </c>
      <c r="AM156" s="84">
        <v>30000</v>
      </c>
      <c r="AN156" s="85"/>
      <c r="AO156" s="86"/>
      <c r="AP156" s="86"/>
      <c r="AQ156" s="86"/>
      <c r="AR156" s="86"/>
      <c r="AS156" s="86"/>
      <c r="AT156" s="84">
        <v>10000</v>
      </c>
      <c r="AU156" s="86"/>
      <c r="AV156" s="85"/>
    </row>
    <row r="157" spans="1:48" ht="12.75" hidden="1">
      <c r="A157" s="82" t="s">
        <v>201</v>
      </c>
      <c r="C157" s="83" t="s">
        <v>200</v>
      </c>
      <c r="AM157" s="84">
        <v>30000</v>
      </c>
      <c r="AN157" s="85"/>
      <c r="AO157" s="86"/>
      <c r="AP157" s="86"/>
      <c r="AQ157" s="86"/>
      <c r="AR157" s="86"/>
      <c r="AS157" s="86"/>
      <c r="AT157" s="84">
        <v>10000</v>
      </c>
      <c r="AU157" s="86"/>
      <c r="AV157" s="85"/>
    </row>
    <row r="158" spans="1:56" ht="12.75" hidden="1">
      <c r="A158" s="82" t="s">
        <v>202</v>
      </c>
      <c r="C158" s="83" t="s">
        <v>200</v>
      </c>
      <c r="AM158" s="84">
        <v>140000</v>
      </c>
      <c r="AN158" s="85"/>
      <c r="AO158" s="86"/>
      <c r="AP158" s="86"/>
      <c r="AQ158" s="86"/>
      <c r="AR158" s="86"/>
      <c r="AS158" s="86"/>
      <c r="AT158" s="84"/>
      <c r="AU158" s="84"/>
      <c r="AV158" s="87"/>
      <c r="AW158" s="84">
        <v>140000</v>
      </c>
      <c r="AX158" s="86"/>
      <c r="AY158" s="87">
        <v>140000</v>
      </c>
      <c r="AZ158" s="86"/>
      <c r="BA158" s="86"/>
      <c r="BB158" s="86"/>
      <c r="BC158" s="86"/>
      <c r="BD158" s="86"/>
    </row>
    <row r="159" spans="1:56" ht="12.75" hidden="1">
      <c r="A159" s="82" t="s">
        <v>203</v>
      </c>
      <c r="C159" s="83" t="s">
        <v>200</v>
      </c>
      <c r="AM159" s="84">
        <v>30000</v>
      </c>
      <c r="AN159" s="85"/>
      <c r="AO159" s="86"/>
      <c r="AP159" s="86"/>
      <c r="AQ159" s="86"/>
      <c r="AR159" s="86"/>
      <c r="AS159" s="86"/>
      <c r="AT159" s="84">
        <v>30000</v>
      </c>
      <c r="AU159" s="84"/>
      <c r="AV159" s="87"/>
      <c r="AW159" s="84"/>
      <c r="AX159" s="86"/>
      <c r="AY159" s="87"/>
      <c r="AZ159" s="86"/>
      <c r="BA159" s="86"/>
      <c r="BB159" s="86"/>
      <c r="BC159" s="86"/>
      <c r="BD159" s="86"/>
    </row>
    <row r="160" spans="1:56" ht="12.75" hidden="1">
      <c r="A160" s="82" t="s">
        <v>204</v>
      </c>
      <c r="C160" s="83" t="s">
        <v>205</v>
      </c>
      <c r="AM160" s="84">
        <v>15000</v>
      </c>
      <c r="AN160" s="85"/>
      <c r="AO160" s="86"/>
      <c r="AP160" s="86"/>
      <c r="AQ160" s="86"/>
      <c r="AR160" s="86"/>
      <c r="AS160" s="86"/>
      <c r="AT160" s="84">
        <v>0</v>
      </c>
      <c r="AU160" s="84"/>
      <c r="AV160" s="87"/>
      <c r="AW160" s="84"/>
      <c r="AX160" s="86"/>
      <c r="AY160" s="87"/>
      <c r="AZ160" s="86"/>
      <c r="BA160" s="86"/>
      <c r="BB160" s="86"/>
      <c r="BC160" s="86"/>
      <c r="BD160" s="86"/>
    </row>
    <row r="161" spans="1:56" ht="12.75" hidden="1">
      <c r="A161" s="82" t="s">
        <v>206</v>
      </c>
      <c r="C161" s="83" t="s">
        <v>207</v>
      </c>
      <c r="AT161" s="84"/>
      <c r="AU161" s="84"/>
      <c r="AV161" s="87"/>
      <c r="AW161" s="84">
        <v>15000</v>
      </c>
      <c r="AX161" s="86"/>
      <c r="AY161" s="87">
        <v>15000</v>
      </c>
      <c r="AZ161" s="86"/>
      <c r="BA161" s="86"/>
      <c r="BB161" s="86"/>
      <c r="BC161" s="86"/>
      <c r="BD161" s="86"/>
    </row>
    <row r="162" spans="1:56" ht="12.75" hidden="1">
      <c r="A162" s="82" t="s">
        <v>208</v>
      </c>
      <c r="C162" s="83" t="s">
        <v>209</v>
      </c>
      <c r="AT162" s="84">
        <v>30000</v>
      </c>
      <c r="AU162" s="84"/>
      <c r="AV162" s="87"/>
      <c r="AW162" s="84"/>
      <c r="AX162" s="86"/>
      <c r="AY162" s="87"/>
      <c r="AZ162" s="86"/>
      <c r="BA162" s="86"/>
      <c r="BB162" s="86"/>
      <c r="BC162" s="86"/>
      <c r="BD162" s="86"/>
    </row>
    <row r="163" spans="1:68" ht="12.75" hidden="1">
      <c r="A163" s="82" t="s">
        <v>210</v>
      </c>
      <c r="C163" s="83" t="s">
        <v>211</v>
      </c>
      <c r="AT163" s="84"/>
      <c r="AU163" s="84"/>
      <c r="AV163" s="87"/>
      <c r="AW163" s="84">
        <v>200000</v>
      </c>
      <c r="AX163" s="84"/>
      <c r="AY163" s="87">
        <v>200000</v>
      </c>
      <c r="AZ163" s="84"/>
      <c r="BA163" s="84"/>
      <c r="BB163" s="84"/>
      <c r="BC163" s="84"/>
      <c r="BD163" s="84"/>
      <c r="BE163" s="84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</row>
    <row r="164" spans="1:56" ht="12.75" hidden="1">
      <c r="A164" s="82" t="s">
        <v>212</v>
      </c>
      <c r="C164" s="83" t="s">
        <v>213</v>
      </c>
      <c r="AT164" s="84"/>
      <c r="AU164" s="84"/>
      <c r="AV164" s="87"/>
      <c r="AW164" s="84">
        <v>600000</v>
      </c>
      <c r="AX164" s="86"/>
      <c r="AY164" s="87">
        <v>600000</v>
      </c>
      <c r="AZ164" s="86"/>
      <c r="BA164" s="86"/>
      <c r="BB164" s="86"/>
      <c r="BC164" s="86"/>
      <c r="BD164" s="86"/>
    </row>
    <row r="165" spans="1:56" ht="12.75" hidden="1">
      <c r="A165" s="88" t="s">
        <v>214</v>
      </c>
      <c r="C165" s="89" t="s">
        <v>213</v>
      </c>
      <c r="AT165" s="90"/>
      <c r="AU165" s="90"/>
      <c r="AV165" s="91"/>
      <c r="AW165" s="90"/>
      <c r="AX165" s="92"/>
      <c r="AY165" s="91"/>
      <c r="AZ165" s="92"/>
      <c r="BA165" s="92"/>
      <c r="BB165" s="92"/>
      <c r="BC165" s="92"/>
      <c r="BD165" s="92"/>
    </row>
    <row r="166" spans="1:56" ht="12.75" hidden="1">
      <c r="A166" s="93" t="s">
        <v>215</v>
      </c>
      <c r="C166" s="83" t="s">
        <v>213</v>
      </c>
      <c r="AT166" s="84"/>
      <c r="AU166" s="84"/>
      <c r="AV166" s="87"/>
      <c r="AW166" s="84">
        <v>2000000</v>
      </c>
      <c r="AX166" s="86"/>
      <c r="AY166" s="87">
        <v>2000000</v>
      </c>
      <c r="AZ166" s="86"/>
      <c r="BA166" s="86"/>
      <c r="BB166" s="86"/>
      <c r="BC166" s="86"/>
      <c r="BD166" s="86"/>
    </row>
    <row r="167" spans="1:68" ht="12.75" hidden="1">
      <c r="A167" s="93" t="s">
        <v>216</v>
      </c>
      <c r="C167" s="83" t="s">
        <v>205</v>
      </c>
      <c r="AT167" s="84"/>
      <c r="AU167" s="84"/>
      <c r="AV167" s="87"/>
      <c r="AW167" s="84"/>
      <c r="AX167" s="84"/>
      <c r="AY167" s="87"/>
      <c r="AZ167" s="84"/>
      <c r="BA167" s="84"/>
      <c r="BB167" s="84"/>
      <c r="BC167" s="84"/>
      <c r="BD167" s="84"/>
      <c r="BE167" s="84">
        <v>1000000</v>
      </c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6"/>
    </row>
    <row r="168" spans="1:56" ht="12.75" hidden="1">
      <c r="A168" s="93" t="s">
        <v>217</v>
      </c>
      <c r="C168" s="83" t="s">
        <v>218</v>
      </c>
      <c r="AW168" s="84"/>
      <c r="AX168" s="86"/>
      <c r="AY168" s="87"/>
      <c r="AZ168" s="86"/>
      <c r="BA168" s="86"/>
      <c r="BB168" s="86"/>
      <c r="BC168" s="86"/>
      <c r="BD168" s="86"/>
    </row>
    <row r="169" spans="1:56" ht="12.75" hidden="1">
      <c r="A169" s="93" t="s">
        <v>219</v>
      </c>
      <c r="C169" s="83" t="s">
        <v>220</v>
      </c>
      <c r="AW169" s="84"/>
      <c r="AX169" s="86"/>
      <c r="AY169" s="87"/>
      <c r="AZ169" s="86"/>
      <c r="BA169" s="86"/>
      <c r="BB169" s="86"/>
      <c r="BC169" s="86"/>
      <c r="BD169" s="86"/>
    </row>
    <row r="170" spans="3:56" ht="12.75" hidden="1">
      <c r="C170" s="38"/>
      <c r="AW170" s="84"/>
      <c r="AX170" s="86"/>
      <c r="AY170" s="87"/>
      <c r="AZ170" s="86"/>
      <c r="BA170" s="86"/>
      <c r="BB170" s="86"/>
      <c r="BC170" s="86"/>
      <c r="BD170" s="86"/>
    </row>
    <row r="171" spans="3:56" ht="12.75" hidden="1">
      <c r="C171" s="38"/>
      <c r="AW171" s="84"/>
      <c r="AX171" s="86"/>
      <c r="AY171" s="87"/>
      <c r="AZ171" s="86"/>
      <c r="BA171" s="86"/>
      <c r="BB171" s="86"/>
      <c r="BC171" s="86"/>
      <c r="BD171" s="86"/>
    </row>
    <row r="172" spans="3:71" ht="12.75">
      <c r="C172" s="38"/>
      <c r="AV172" s="9"/>
      <c r="BQ172"/>
      <c r="BR172"/>
      <c r="BS172"/>
    </row>
    <row r="173" spans="48:71" ht="12.75">
      <c r="AV173" s="9"/>
      <c r="BQ173"/>
      <c r="BR173"/>
      <c r="BS173"/>
    </row>
    <row r="174" spans="48:71" ht="12.75">
      <c r="AV174" s="9"/>
      <c r="BQ174"/>
      <c r="BR174"/>
      <c r="BS174"/>
    </row>
    <row r="175" spans="48:71" ht="12.75">
      <c r="AV175" s="9"/>
      <c r="BQ175"/>
      <c r="BR175"/>
      <c r="BS175"/>
    </row>
    <row r="176" spans="48:71" ht="12.75">
      <c r="AV176" s="9"/>
      <c r="BQ176"/>
      <c r="BR176"/>
      <c r="BS176"/>
    </row>
    <row r="177" spans="48:71" ht="12.75">
      <c r="AV177" s="9"/>
      <c r="BQ177"/>
      <c r="BR177"/>
      <c r="BS177"/>
    </row>
    <row r="178" spans="48:71" ht="12.75">
      <c r="AV178" s="9"/>
      <c r="BQ178"/>
      <c r="BR178"/>
      <c r="BS178"/>
    </row>
    <row r="179" spans="48:71" ht="12.75">
      <c r="AV179" s="9"/>
      <c r="BQ179"/>
      <c r="BR179"/>
      <c r="BS179"/>
    </row>
    <row r="180" spans="48:71" ht="12.75">
      <c r="AV180" s="9"/>
      <c r="BQ180"/>
      <c r="BR180"/>
      <c r="BS180"/>
    </row>
    <row r="181" spans="48:71" ht="12.75">
      <c r="AV181" s="9"/>
      <c r="BQ181"/>
      <c r="BR181"/>
      <c r="BS181"/>
    </row>
    <row r="182" spans="48:71" ht="12.75">
      <c r="AV182" s="9"/>
      <c r="BQ182"/>
      <c r="BR182"/>
      <c r="BS182"/>
    </row>
    <row r="183" spans="48:71" ht="12.75">
      <c r="AV183" s="9"/>
      <c r="BQ183"/>
      <c r="BR183"/>
      <c r="BS183"/>
    </row>
    <row r="184" spans="48:71" ht="12.75">
      <c r="AV184" s="9"/>
      <c r="BQ184"/>
      <c r="BR184"/>
      <c r="BS184"/>
    </row>
    <row r="185" spans="48:71" ht="12.75">
      <c r="AV185" s="9"/>
      <c r="BQ185"/>
      <c r="BR185"/>
      <c r="BS185"/>
    </row>
    <row r="186" spans="48:71" ht="12.75">
      <c r="AV186" s="9"/>
      <c r="BQ186"/>
      <c r="BR186"/>
      <c r="BS186"/>
    </row>
    <row r="187" spans="48:71" ht="12.75">
      <c r="AV187" s="9"/>
      <c r="BQ187"/>
      <c r="BR187"/>
      <c r="BS187"/>
    </row>
    <row r="188" spans="48:71" ht="12.75">
      <c r="AV188" s="9"/>
      <c r="BQ188"/>
      <c r="BR188"/>
      <c r="BS188"/>
    </row>
    <row r="189" spans="48:71" ht="12.75">
      <c r="AV189" s="9"/>
      <c r="BQ189"/>
      <c r="BR189"/>
      <c r="BS189"/>
    </row>
  </sheetData>
  <sheetProtection/>
  <printOptions/>
  <pageMargins left="0.17" right="0.17" top="0.17" bottom="0.16" header="0.17" footer="0.5"/>
  <pageSetup fitToHeight="1" fitToWidth="1" horizontalDpi="600" verticalDpi="600" orientation="portrait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G28" sqref="G28"/>
    </sheetView>
  </sheetViews>
  <sheetFormatPr defaultColWidth="9.140625" defaultRowHeight="12.75"/>
  <cols>
    <col min="4" max="4" width="10.140625" style="0" bestFit="1" customWidth="1"/>
    <col min="6" max="6" width="10.140625" style="0" bestFit="1" customWidth="1"/>
    <col min="8" max="8" width="10.140625" style="0" bestFit="1" customWidth="1"/>
    <col min="10" max="10" width="10.140625" style="0" bestFit="1" customWidth="1"/>
    <col min="12" max="12" width="10.140625" style="0" bestFit="1" customWidth="1"/>
    <col min="14" max="14" width="10.140625" style="0" bestFit="1" customWidth="1"/>
  </cols>
  <sheetData>
    <row r="1" spans="12:14" ht="18">
      <c r="L1" s="8" t="s">
        <v>17</v>
      </c>
      <c r="N1" s="8" t="s">
        <v>221</v>
      </c>
    </row>
    <row r="2" s="141" customFormat="1" ht="15.75">
      <c r="B2" s="142" t="s">
        <v>7</v>
      </c>
    </row>
    <row r="5" spans="4:14" s="2" customFormat="1" ht="12.75">
      <c r="D5" s="143">
        <v>40999</v>
      </c>
      <c r="E5" s="2" t="s">
        <v>11</v>
      </c>
      <c r="F5" s="143">
        <v>41364</v>
      </c>
      <c r="G5" s="2" t="s">
        <v>12</v>
      </c>
      <c r="H5" s="143">
        <v>41729</v>
      </c>
      <c r="I5" s="2" t="s">
        <v>13</v>
      </c>
      <c r="J5" s="143">
        <v>42094</v>
      </c>
      <c r="K5" s="2" t="s">
        <v>14</v>
      </c>
      <c r="L5" s="143">
        <v>42460</v>
      </c>
      <c r="M5" s="2" t="s">
        <v>15</v>
      </c>
      <c r="N5" s="143">
        <v>42825</v>
      </c>
    </row>
    <row r="6" spans="4:14" s="2" customFormat="1" ht="12.75">
      <c r="D6" s="3" t="s">
        <v>3</v>
      </c>
      <c r="E6" s="3" t="s">
        <v>3</v>
      </c>
      <c r="F6" s="3" t="s">
        <v>3</v>
      </c>
      <c r="G6" s="3" t="s">
        <v>3</v>
      </c>
      <c r="H6" s="3" t="s">
        <v>3</v>
      </c>
      <c r="I6" s="3" t="s">
        <v>3</v>
      </c>
      <c r="J6" s="3" t="s">
        <v>3</v>
      </c>
      <c r="K6" s="3" t="s">
        <v>3</v>
      </c>
      <c r="L6" s="3" t="s">
        <v>3</v>
      </c>
      <c r="M6" s="2" t="s">
        <v>3</v>
      </c>
      <c r="N6" s="2" t="s">
        <v>3</v>
      </c>
    </row>
    <row r="7" s="1" customFormat="1" ht="12.75"/>
    <row r="8" spans="1:14" s="1" customFormat="1" ht="12.75">
      <c r="A8" s="1" t="s">
        <v>4</v>
      </c>
      <c r="D8" s="6">
        <v>30665</v>
      </c>
      <c r="E8" s="6"/>
      <c r="F8" s="6">
        <f>D8+E18</f>
        <v>36465</v>
      </c>
      <c r="G8" s="6"/>
      <c r="H8" s="6">
        <f>F8+G18</f>
        <v>29565</v>
      </c>
      <c r="I8" s="6"/>
      <c r="J8" s="6">
        <f>H8+I18</f>
        <v>22665</v>
      </c>
      <c r="K8" s="6"/>
      <c r="L8" s="6">
        <f>J8+K18</f>
        <v>16665</v>
      </c>
      <c r="M8" s="6"/>
      <c r="N8" s="6">
        <f>L8+M18</f>
        <v>10665</v>
      </c>
    </row>
    <row r="9" spans="4:14" ht="12.75"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2.75">
      <c r="A10" t="s">
        <v>10</v>
      </c>
      <c r="D10" s="7"/>
      <c r="E10" s="7">
        <v>-7000</v>
      </c>
      <c r="F10" s="7"/>
      <c r="G10" s="7">
        <v>-6000</v>
      </c>
      <c r="H10" s="7"/>
      <c r="I10" s="7">
        <v>-6000</v>
      </c>
      <c r="J10" s="7"/>
      <c r="K10" s="7">
        <v>-6000</v>
      </c>
      <c r="L10" s="7"/>
      <c r="M10" s="7">
        <v>-6000</v>
      </c>
      <c r="N10" s="7"/>
    </row>
    <row r="11" spans="4:14" ht="12.75"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2.75">
      <c r="A12" t="s">
        <v>8</v>
      </c>
      <c r="D12" s="7" t="s">
        <v>17</v>
      </c>
      <c r="E12" s="7">
        <v>1000</v>
      </c>
      <c r="F12" s="7"/>
      <c r="G12" s="7"/>
      <c r="H12" s="7"/>
      <c r="I12" s="7"/>
      <c r="J12" s="7"/>
      <c r="K12" s="7"/>
      <c r="L12" s="7"/>
      <c r="M12" s="7"/>
      <c r="N12" s="7"/>
    </row>
    <row r="13" spans="4:14" ht="12.75"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2.75">
      <c r="A14" t="s">
        <v>9</v>
      </c>
      <c r="D14" s="7"/>
      <c r="E14" s="7">
        <v>10000</v>
      </c>
      <c r="F14" s="7"/>
      <c r="G14" s="7"/>
      <c r="H14" s="7"/>
      <c r="I14" s="7"/>
      <c r="J14" s="7"/>
      <c r="K14" s="7"/>
      <c r="L14" s="7"/>
      <c r="M14" s="7"/>
      <c r="N14" s="7"/>
    </row>
    <row r="15" spans="4:14" ht="12.75"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2.75">
      <c r="A16" t="s">
        <v>23</v>
      </c>
      <c r="D16" s="7"/>
      <c r="E16" s="7">
        <v>1800</v>
      </c>
      <c r="F16" s="7" t="s">
        <v>17</v>
      </c>
      <c r="G16" s="7">
        <v>-900</v>
      </c>
      <c r="H16" s="7"/>
      <c r="I16" s="7">
        <v>-900</v>
      </c>
      <c r="J16" s="7"/>
      <c r="K16" s="7"/>
      <c r="L16" s="7"/>
      <c r="M16" s="7"/>
      <c r="N16" s="7"/>
    </row>
    <row r="17" spans="4:14" ht="12.75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s="1" customFormat="1" ht="12.75">
      <c r="A18" s="1" t="s">
        <v>5</v>
      </c>
      <c r="D18" s="6">
        <f>SUM(D8:D17)</f>
        <v>30665</v>
      </c>
      <c r="E18" s="6">
        <f>SUM(E8:E17)</f>
        <v>5800</v>
      </c>
      <c r="F18" s="6">
        <f>D18+E18</f>
        <v>36465</v>
      </c>
      <c r="G18" s="6">
        <f>SUM(G8:G17)</f>
        <v>-6900</v>
      </c>
      <c r="H18" s="6">
        <f>F18+G18</f>
        <v>29565</v>
      </c>
      <c r="I18" s="6">
        <f>SUM(I7:I17)</f>
        <v>-6900</v>
      </c>
      <c r="J18" s="6">
        <f>H18+I18</f>
        <v>22665</v>
      </c>
      <c r="K18" s="6">
        <f>SUM(K8:K17)</f>
        <v>-6000</v>
      </c>
      <c r="L18" s="6">
        <f>J18+K18</f>
        <v>16665</v>
      </c>
      <c r="M18" s="6">
        <f>SUM(M8:M17)</f>
        <v>-6000</v>
      </c>
      <c r="N18" s="6">
        <f>L18+M18</f>
        <v>10665</v>
      </c>
    </row>
    <row r="19" spans="4:14" ht="12.75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1" ht="12.75">
      <c r="A21" t="s">
        <v>24</v>
      </c>
    </row>
    <row r="25" spans="1:6" s="1" customFormat="1" ht="12.75">
      <c r="A25" s="1" t="s">
        <v>6</v>
      </c>
      <c r="F25" s="6">
        <v>7343</v>
      </c>
    </row>
  </sheetData>
  <sheetProtection/>
  <printOptions/>
  <pageMargins left="0.75" right="0.17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28"/>
  <sheetViews>
    <sheetView zoomScale="60" zoomScaleNormal="60" zoomScalePageLayoutView="0" workbookViewId="0" topLeftCell="A16">
      <selection activeCell="A2" sqref="A2"/>
    </sheetView>
  </sheetViews>
  <sheetFormatPr defaultColWidth="9.140625" defaultRowHeight="12.75"/>
  <cols>
    <col min="1" max="1" width="59.28125" style="94" customWidth="1"/>
    <col min="2" max="2" width="18.28125" style="95" customWidth="1"/>
    <col min="3" max="3" width="2.140625" style="95" customWidth="1"/>
    <col min="4" max="4" width="14.7109375" style="95" customWidth="1"/>
    <col min="5" max="5" width="2.00390625" style="95" customWidth="1"/>
    <col min="6" max="6" width="13.57421875" style="95" customWidth="1"/>
    <col min="7" max="7" width="2.28125" style="95" customWidth="1"/>
    <col min="8" max="8" width="18.421875" style="95" customWidth="1"/>
    <col min="9" max="9" width="2.00390625" style="95" customWidth="1"/>
    <col min="10" max="10" width="15.421875" style="95" customWidth="1"/>
    <col min="11" max="11" width="2.00390625" style="95" customWidth="1"/>
    <col min="12" max="12" width="14.57421875" style="95" customWidth="1"/>
    <col min="13" max="13" width="2.00390625" style="95" customWidth="1"/>
    <col min="14" max="14" width="18.140625" style="95" customWidth="1"/>
    <col min="15" max="15" width="1.8515625" style="95" customWidth="1"/>
    <col min="16" max="16" width="15.8515625" style="95" customWidth="1"/>
    <col min="17" max="17" width="1.8515625" style="95" customWidth="1"/>
    <col min="18" max="18" width="15.28125" style="95" customWidth="1"/>
    <col min="19" max="19" width="1.8515625" style="95" customWidth="1"/>
    <col min="20" max="20" width="18.8515625" style="95" customWidth="1"/>
    <col min="21" max="21" width="1.28515625" style="95" customWidth="1"/>
    <col min="22" max="22" width="14.421875" style="95" customWidth="1"/>
    <col min="23" max="23" width="2.00390625" style="95" customWidth="1"/>
    <col min="24" max="24" width="14.140625" style="95" customWidth="1"/>
    <col min="25" max="25" width="2.421875" style="95" customWidth="1"/>
    <col min="26" max="26" width="19.00390625" style="95" customWidth="1"/>
    <col min="27" max="27" width="11.7109375" style="95" bestFit="1" customWidth="1"/>
    <col min="28" max="28" width="15.8515625" style="95" bestFit="1" customWidth="1"/>
    <col min="29" max="16384" width="9.140625" style="95" customWidth="1"/>
  </cols>
  <sheetData>
    <row r="1" spans="20:26" ht="19.5">
      <c r="T1" s="96" t="s">
        <v>17</v>
      </c>
      <c r="Z1" s="147" t="s">
        <v>19</v>
      </c>
    </row>
    <row r="2" spans="1:14" ht="24" customHeight="1" thickBot="1">
      <c r="A2" s="94" t="s">
        <v>308</v>
      </c>
      <c r="N2" s="96"/>
    </row>
    <row r="3" spans="2:26" ht="78" customHeight="1" thickBot="1">
      <c r="B3" s="97" t="s">
        <v>222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9"/>
      <c r="V3" s="99"/>
      <c r="W3" s="99"/>
      <c r="X3" s="99"/>
      <c r="Y3" s="99"/>
      <c r="Z3" s="100"/>
    </row>
    <row r="4" ht="10.5" customHeight="1"/>
    <row r="5" ht="1.5" customHeight="1" thickBot="1">
      <c r="A5" s="101"/>
    </row>
    <row r="6" spans="1:26" ht="18">
      <c r="A6" s="102"/>
      <c r="B6" s="103" t="s">
        <v>223</v>
      </c>
      <c r="C6" s="102"/>
      <c r="D6" s="104" t="s">
        <v>295</v>
      </c>
      <c r="E6" s="105"/>
      <c r="F6" s="104" t="s">
        <v>224</v>
      </c>
      <c r="H6" s="103" t="s">
        <v>225</v>
      </c>
      <c r="I6" s="102"/>
      <c r="J6" s="104" t="s">
        <v>295</v>
      </c>
      <c r="K6" s="105"/>
      <c r="L6" s="104" t="s">
        <v>224</v>
      </c>
      <c r="N6" s="103" t="s">
        <v>226</v>
      </c>
      <c r="O6" s="102"/>
      <c r="P6" s="104" t="s">
        <v>295</v>
      </c>
      <c r="Q6" s="105"/>
      <c r="R6" s="104" t="s">
        <v>224</v>
      </c>
      <c r="T6" s="103" t="s">
        <v>227</v>
      </c>
      <c r="V6" s="104" t="s">
        <v>295</v>
      </c>
      <c r="W6" s="105"/>
      <c r="X6" s="104" t="s">
        <v>224</v>
      </c>
      <c r="Z6" s="103" t="s">
        <v>228</v>
      </c>
    </row>
    <row r="7" spans="1:26" ht="18">
      <c r="A7" s="102"/>
      <c r="B7" s="106" t="s">
        <v>229</v>
      </c>
      <c r="C7" s="102"/>
      <c r="D7" s="106" t="s">
        <v>17</v>
      </c>
      <c r="E7" s="105"/>
      <c r="F7" s="106" t="s">
        <v>230</v>
      </c>
      <c r="H7" s="106" t="s">
        <v>229</v>
      </c>
      <c r="I7" s="102"/>
      <c r="J7" s="106" t="s">
        <v>17</v>
      </c>
      <c r="K7" s="105"/>
      <c r="L7" s="106" t="s">
        <v>230</v>
      </c>
      <c r="N7" s="106" t="s">
        <v>229</v>
      </c>
      <c r="O7" s="102"/>
      <c r="P7" s="106" t="s">
        <v>17</v>
      </c>
      <c r="Q7" s="105"/>
      <c r="R7" s="106" t="s">
        <v>230</v>
      </c>
      <c r="T7" s="106" t="s">
        <v>229</v>
      </c>
      <c r="V7" s="106" t="s">
        <v>17</v>
      </c>
      <c r="W7" s="105"/>
      <c r="X7" s="106" t="s">
        <v>230</v>
      </c>
      <c r="Z7" s="106" t="s">
        <v>229</v>
      </c>
    </row>
    <row r="8" spans="1:26" ht="18">
      <c r="A8" s="102"/>
      <c r="B8" s="106" t="s">
        <v>231</v>
      </c>
      <c r="C8" s="102"/>
      <c r="D8" s="106"/>
      <c r="E8" s="105"/>
      <c r="F8" s="106"/>
      <c r="H8" s="106" t="s">
        <v>231</v>
      </c>
      <c r="I8" s="102"/>
      <c r="J8" s="106"/>
      <c r="K8" s="105"/>
      <c r="L8" s="106"/>
      <c r="N8" s="106" t="s">
        <v>231</v>
      </c>
      <c r="O8" s="102"/>
      <c r="P8" s="106"/>
      <c r="Q8" s="105"/>
      <c r="R8" s="106"/>
      <c r="T8" s="106" t="s">
        <v>231</v>
      </c>
      <c r="V8" s="106"/>
      <c r="W8" s="105"/>
      <c r="X8" s="106"/>
      <c r="Z8" s="106" t="s">
        <v>231</v>
      </c>
    </row>
    <row r="9" spans="1:26" ht="18.75" thickBot="1">
      <c r="A9" s="107"/>
      <c r="B9" s="108" t="s">
        <v>16</v>
      </c>
      <c r="C9" s="107"/>
      <c r="D9" s="109" t="s">
        <v>16</v>
      </c>
      <c r="E9" s="105"/>
      <c r="F9" s="109" t="s">
        <v>16</v>
      </c>
      <c r="H9" s="108" t="s">
        <v>16</v>
      </c>
      <c r="I9" s="107"/>
      <c r="J9" s="109" t="s">
        <v>16</v>
      </c>
      <c r="K9" s="105"/>
      <c r="L9" s="109" t="s">
        <v>16</v>
      </c>
      <c r="N9" s="108" t="s">
        <v>16</v>
      </c>
      <c r="O9" s="107"/>
      <c r="P9" s="109" t="s">
        <v>16</v>
      </c>
      <c r="Q9" s="105"/>
      <c r="R9" s="109" t="s">
        <v>16</v>
      </c>
      <c r="T9" s="108" t="s">
        <v>16</v>
      </c>
      <c r="V9" s="109" t="s">
        <v>16</v>
      </c>
      <c r="W9" s="105"/>
      <c r="X9" s="109" t="s">
        <v>16</v>
      </c>
      <c r="Z9" s="108" t="s">
        <v>16</v>
      </c>
    </row>
    <row r="10" spans="2:26" ht="8.25" customHeight="1" thickBot="1">
      <c r="B10" s="110"/>
      <c r="C10" s="94"/>
      <c r="D10" s="94"/>
      <c r="E10" s="94"/>
      <c r="H10" s="110"/>
      <c r="I10" s="94"/>
      <c r="J10" s="94"/>
      <c r="K10" s="94"/>
      <c r="N10" s="110"/>
      <c r="O10" s="94"/>
      <c r="P10" s="94"/>
      <c r="Q10" s="94"/>
      <c r="T10" s="110"/>
      <c r="V10" s="94"/>
      <c r="W10" s="94"/>
      <c r="Z10" s="110"/>
    </row>
    <row r="11" spans="1:26" ht="27.75" customHeight="1" thickBot="1">
      <c r="A11" s="111" t="s">
        <v>232</v>
      </c>
      <c r="B11" s="112"/>
      <c r="C11" s="94"/>
      <c r="D11" s="113"/>
      <c r="E11" s="94"/>
      <c r="F11" s="113"/>
      <c r="H11" s="112"/>
      <c r="I11" s="94"/>
      <c r="J11" s="113"/>
      <c r="K11" s="94"/>
      <c r="L11" s="113"/>
      <c r="N11" s="112"/>
      <c r="O11" s="94"/>
      <c r="P11" s="113"/>
      <c r="Q11" s="94"/>
      <c r="R11" s="113"/>
      <c r="T11" s="112"/>
      <c r="V11" s="113"/>
      <c r="W11" s="94"/>
      <c r="X11" s="113"/>
      <c r="Z11" s="112"/>
    </row>
    <row r="12" spans="1:26" ht="18">
      <c r="A12" s="114"/>
      <c r="B12" s="145"/>
      <c r="C12" s="94"/>
      <c r="D12" s="146"/>
      <c r="E12" s="94"/>
      <c r="F12" s="146"/>
      <c r="H12" s="145"/>
      <c r="I12" s="94"/>
      <c r="J12" s="146"/>
      <c r="K12" s="94"/>
      <c r="L12" s="146"/>
      <c r="N12" s="145"/>
      <c r="O12" s="94"/>
      <c r="P12" s="146"/>
      <c r="Q12" s="94"/>
      <c r="R12" s="146"/>
      <c r="T12" s="145"/>
      <c r="V12" s="146"/>
      <c r="W12" s="94"/>
      <c r="X12" s="146"/>
      <c r="Z12" s="145"/>
    </row>
    <row r="13" spans="1:26" ht="18">
      <c r="A13" s="94" t="s">
        <v>233</v>
      </c>
      <c r="B13" s="115">
        <f>'[1]SUMMARY BUDGET MOVES '!C11+'[1]SUMMARY BUDGET MOVES '!D11+'[1]SUMMARY BUDGET MOVES '!E11</f>
        <v>254758.1420703959</v>
      </c>
      <c r="C13" s="116"/>
      <c r="D13" s="115">
        <f>SUM('[1]SUMMARY BUDGET MOVES '!F11:N11)+SUM('[1]SUMMARY BUDGET MOVES '!P11:S11)+SUM('[1]SUMMARY BUDGET MOVES '!V11:AD11)</f>
        <v>-389.75</v>
      </c>
      <c r="E13" s="117"/>
      <c r="F13" s="115">
        <f>'[1]SUMMARY BUDGET MOVES '!AF11+'[1]SUMMARY BUDGET MOVES '!U11</f>
        <v>1482.0161654106428</v>
      </c>
      <c r="G13" s="116"/>
      <c r="H13" s="115">
        <f aca="true" t="shared" si="0" ref="H13:H51">B13+D13+F13</f>
        <v>255850.40823580654</v>
      </c>
      <c r="I13" s="116"/>
      <c r="J13" s="115">
        <f>2900-1452</f>
        <v>1448</v>
      </c>
      <c r="K13" s="117"/>
      <c r="L13" s="115">
        <f>(((H13+J13)*(1%/12*5)+((H13+J13)*(1%/12*5)+(H13+J13))*1%/12*7))</f>
        <v>2579.2378631137967</v>
      </c>
      <c r="M13" s="116"/>
      <c r="N13" s="115">
        <f aca="true" t="shared" si="1" ref="N13:N51">SUM(H13:L13)</f>
        <v>259877.64609892032</v>
      </c>
      <c r="O13" s="116"/>
      <c r="P13" s="115">
        <v>2900</v>
      </c>
      <c r="Q13" s="117"/>
      <c r="R13" s="115">
        <f>(((N13+P13)*(1%/12*5)+((N13+P13)*(1%/12*5)+(N13+P13))*2%/12*7))</f>
        <v>4173.419976584935</v>
      </c>
      <c r="S13" s="116"/>
      <c r="T13" s="115">
        <f aca="true" t="shared" si="2" ref="T13:T51">SUM(N13:R13)</f>
        <v>266951.0660755053</v>
      </c>
      <c r="U13" s="118"/>
      <c r="V13" s="115">
        <v>2900</v>
      </c>
      <c r="W13" s="117"/>
      <c r="X13" s="115">
        <f>(((T13+V13)*(2%/12*5)+((T13+V13)*(2%/12*5)+(T13+V13))*2%/12*7))</f>
        <v>5423.256841823002</v>
      </c>
      <c r="Y13" s="116"/>
      <c r="Z13" s="115">
        <f aca="true" t="shared" si="3" ref="Z13:Z51">SUM(T13:X13)</f>
        <v>275274.3229173283</v>
      </c>
    </row>
    <row r="14" spans="1:26" ht="18">
      <c r="A14" s="94" t="s">
        <v>22</v>
      </c>
      <c r="B14" s="115">
        <f>'[1]SUMMARY BUDGET MOVES '!C12+'[1]SUMMARY BUDGET MOVES '!D12+'[1]SUMMARY BUDGET MOVES '!E12</f>
        <v>7097.878743114712</v>
      </c>
      <c r="C14" s="116"/>
      <c r="D14" s="115">
        <f>SUM('[1]SUMMARY BUDGET MOVES '!F12:N12)+SUM('[1]SUMMARY BUDGET MOVES '!P12:S12)+SUM('[1]SUMMARY BUDGET MOVES '!V12:AD12)</f>
        <v>0</v>
      </c>
      <c r="E14" s="117"/>
      <c r="F14" s="115">
        <f>'[1]SUMMARY BUDGET MOVES '!AF12+'[1]SUMMARY BUDGET MOVES '!U12</f>
        <v>13.370201093641887</v>
      </c>
      <c r="G14" s="116"/>
      <c r="H14" s="115">
        <f t="shared" si="0"/>
        <v>7111.248944208354</v>
      </c>
      <c r="I14" s="116"/>
      <c r="J14" s="115">
        <v>0</v>
      </c>
      <c r="K14" s="117"/>
      <c r="L14" s="115">
        <f>64*1.01</f>
        <v>64.64</v>
      </c>
      <c r="M14" s="116"/>
      <c r="N14" s="115">
        <f t="shared" si="1"/>
        <v>7175.888944208355</v>
      </c>
      <c r="O14" s="116"/>
      <c r="P14" s="115">
        <v>0</v>
      </c>
      <c r="Q14" s="117"/>
      <c r="R14" s="115">
        <f>L14*1.02</f>
        <v>65.9328</v>
      </c>
      <c r="S14" s="116"/>
      <c r="T14" s="115">
        <f t="shared" si="2"/>
        <v>7241.821744208354</v>
      </c>
      <c r="U14" s="118"/>
      <c r="V14" s="115">
        <v>0</v>
      </c>
      <c r="W14" s="117"/>
      <c r="X14" s="115">
        <f>R14*1.02</f>
        <v>67.251456</v>
      </c>
      <c r="Y14" s="116"/>
      <c r="Z14" s="115">
        <f t="shared" si="3"/>
        <v>7309.073200208354</v>
      </c>
    </row>
    <row r="15" spans="1:26" ht="18">
      <c r="A15" s="94" t="s">
        <v>234</v>
      </c>
      <c r="B15" s="115">
        <f>'[1]SUMMARY BUDGET MOVES '!C13+'[1]SUMMARY BUDGET MOVES '!D13+'[1]SUMMARY BUDGET MOVES '!E13</f>
        <v>110338.41051999999</v>
      </c>
      <c r="C15" s="116"/>
      <c r="D15" s="115">
        <f>SUM('[1]SUMMARY BUDGET MOVES '!F13:N13)+SUM('[1]SUMMARY BUDGET MOVES '!P13:S13)+SUM('[1]SUMMARY BUDGET MOVES '!V13:AD13)</f>
        <v>1183</v>
      </c>
      <c r="E15" s="117"/>
      <c r="F15" s="115">
        <f>'[1]SUMMARY BUDGET MOVES '!AF13+'[1]SUMMARY BUDGET MOVES '!U13</f>
        <v>941.7076743690475</v>
      </c>
      <c r="G15" s="116"/>
      <c r="H15" s="115">
        <f t="shared" si="0"/>
        <v>112463.11819436903</v>
      </c>
      <c r="I15" s="116"/>
      <c r="J15" s="119">
        <f>800-300</f>
        <v>500</v>
      </c>
      <c r="K15" s="117"/>
      <c r="L15" s="115">
        <f>(((H15+J15)*(1%/12*5)+((H15+J15)*(1%/12*5)+(H15+J15))*1%/12*7))</f>
        <v>1132.3768132886923</v>
      </c>
      <c r="M15" s="116"/>
      <c r="N15" s="115">
        <f t="shared" si="1"/>
        <v>114095.49500765772</v>
      </c>
      <c r="O15" s="116"/>
      <c r="P15" s="119">
        <v>800</v>
      </c>
      <c r="Q15" s="117"/>
      <c r="R15" s="115">
        <f>(((N15+P15)*(1%/12*5)+((N15+P15)*(1%/12*5)+(N15+P15))*2%/12*7))</f>
        <v>1824.763868628564</v>
      </c>
      <c r="S15" s="116"/>
      <c r="T15" s="115">
        <f t="shared" si="2"/>
        <v>116720.25887628629</v>
      </c>
      <c r="U15" s="118"/>
      <c r="V15" s="119">
        <v>800</v>
      </c>
      <c r="W15" s="117"/>
      <c r="X15" s="115">
        <f>(((T15+V15)*(2%/12*5)+((T15+V15)*(2%/12*5)+(T15+V15))*2%/12*7))</f>
        <v>2361.830758249809</v>
      </c>
      <c r="Y15" s="116"/>
      <c r="Z15" s="115">
        <f t="shared" si="3"/>
        <v>119882.0896345361</v>
      </c>
    </row>
    <row r="16" spans="1:26" ht="18">
      <c r="A16" s="94" t="s">
        <v>235</v>
      </c>
      <c r="B16" s="115">
        <f>'[1]SUMMARY BUDGET MOVES '!C14+'[1]SUMMARY BUDGET MOVES '!D14+'[1]SUMMARY BUDGET MOVES '!E14</f>
        <v>9957.347</v>
      </c>
      <c r="C16" s="116"/>
      <c r="D16" s="115">
        <f>SUM('[1]SUMMARY BUDGET MOVES '!F14:N14)+SUM('[1]SUMMARY BUDGET MOVES '!P14:S14)+SUM('[1]SUMMARY BUDGET MOVES '!V14:AD14)</f>
        <v>-900</v>
      </c>
      <c r="E16" s="117"/>
      <c r="F16" s="115">
        <f>'[1]SUMMARY BUDGET MOVES '!AF14+'[1]SUMMARY BUDGET MOVES '!U14</f>
        <v>52.83452416666667</v>
      </c>
      <c r="G16" s="116"/>
      <c r="H16" s="115">
        <f t="shared" si="0"/>
        <v>9110.181524166666</v>
      </c>
      <c r="I16" s="116"/>
      <c r="J16" s="115">
        <v>300</v>
      </c>
      <c r="K16" s="117"/>
      <c r="L16" s="115">
        <f>(((H16+J16)*(1%/12*5)+((H16+J16)*(1%/12*5)+(H16+J16))*1%/12*7))</f>
        <v>94.33053493149015</v>
      </c>
      <c r="M16" s="116"/>
      <c r="N16" s="115">
        <f t="shared" si="1"/>
        <v>9504.512059098157</v>
      </c>
      <c r="O16" s="116"/>
      <c r="P16" s="115">
        <v>600</v>
      </c>
      <c r="Q16" s="117"/>
      <c r="R16" s="115">
        <f>(((N16+P16)*(1%/12*5)+((N16+P16)*(1%/12*5)+(N16+P16))*2%/12*7))</f>
        <v>160.47929916081586</v>
      </c>
      <c r="S16" s="116"/>
      <c r="T16" s="115">
        <f t="shared" si="2"/>
        <v>10264.991358258972</v>
      </c>
      <c r="U16" s="118"/>
      <c r="V16" s="115">
        <v>-2400</v>
      </c>
      <c r="W16" s="117"/>
      <c r="X16" s="115">
        <f>(((T16+V16)*(2%/12*5)+((T16+V16)*(2%/12*5)+(T16+V16))*2%/12*7))</f>
        <v>158.06447910278794</v>
      </c>
      <c r="Y16" s="116"/>
      <c r="Z16" s="115">
        <f t="shared" si="3"/>
        <v>8023.0558373617605</v>
      </c>
    </row>
    <row r="17" spans="1:26" ht="18">
      <c r="A17" s="94" t="s">
        <v>236</v>
      </c>
      <c r="B17" s="115">
        <f>'[1]SUMMARY BUDGET MOVES '!C15+'[1]SUMMARY BUDGET MOVES '!D15+'[1]SUMMARY BUDGET MOVES '!E15</f>
        <v>1906.963</v>
      </c>
      <c r="C17" s="116"/>
      <c r="D17" s="115">
        <f>SUM('[1]SUMMARY BUDGET MOVES '!F15:N15)+SUM('[1]SUMMARY BUDGET MOVES '!P15:S15)+SUM('[1]SUMMARY BUDGET MOVES '!V15:AD15)</f>
        <v>16</v>
      </c>
      <c r="E17" s="115"/>
      <c r="F17" s="115">
        <f>'[1]SUMMARY BUDGET MOVES '!AF15+'[1]SUMMARY BUDGET MOVES '!U15</f>
        <v>11.217284166666666</v>
      </c>
      <c r="G17" s="116"/>
      <c r="H17" s="115">
        <f t="shared" si="0"/>
        <v>1934.1802841666665</v>
      </c>
      <c r="I17" s="116"/>
      <c r="J17" s="115">
        <v>0</v>
      </c>
      <c r="K17" s="117"/>
      <c r="L17" s="115">
        <f>(((H17+J17)*(1%/12*5)+((H17+J17)*(1%/12*5)+(H17+J17))*1%/12*7))</f>
        <v>19.388814168017937</v>
      </c>
      <c r="M17" s="116"/>
      <c r="N17" s="115">
        <f t="shared" si="1"/>
        <v>1953.5690983346844</v>
      </c>
      <c r="O17" s="116"/>
      <c r="P17" s="115">
        <v>0</v>
      </c>
      <c r="Q17" s="117"/>
      <c r="R17" s="115">
        <f>(((N17+P17)*(1%/12*5)+((N17+P17)*(1%/12*5)+(N17+P17))*2%/12*7))</f>
        <v>31.026475888134883</v>
      </c>
      <c r="S17" s="116"/>
      <c r="T17" s="115">
        <f t="shared" si="2"/>
        <v>1984.5955742228193</v>
      </c>
      <c r="U17" s="118"/>
      <c r="V17" s="115">
        <v>0</v>
      </c>
      <c r="W17" s="117"/>
      <c r="X17" s="115">
        <f>(((T17+V17)*(2%/12*5)+((T17+V17)*(2%/12*5)+(T17+V17))*2%/12*7))</f>
        <v>39.884858276394716</v>
      </c>
      <c r="Y17" s="116"/>
      <c r="Z17" s="115">
        <f t="shared" si="3"/>
        <v>2024.480432499214</v>
      </c>
    </row>
    <row r="18" spans="1:26" ht="18">
      <c r="A18" s="94" t="s">
        <v>237</v>
      </c>
      <c r="B18" s="115">
        <f>SUM(B13:B17)</f>
        <v>384058.7413335106</v>
      </c>
      <c r="C18" s="116"/>
      <c r="D18" s="115">
        <f>SUM(D13:D17)</f>
        <v>-90.75</v>
      </c>
      <c r="E18" s="117"/>
      <c r="F18" s="115">
        <f>SUM(F13:F17)</f>
        <v>2501.1458492066654</v>
      </c>
      <c r="G18" s="116"/>
      <c r="H18" s="115">
        <f t="shared" si="0"/>
        <v>386469.13718271727</v>
      </c>
      <c r="I18" s="115"/>
      <c r="J18" s="115">
        <f>SUM(J13:J17)</f>
        <v>2248</v>
      </c>
      <c r="K18" s="117"/>
      <c r="L18" s="115">
        <f>SUM(L13:L17)</f>
        <v>3889.9740255019974</v>
      </c>
      <c r="M18" s="116"/>
      <c r="N18" s="115">
        <f t="shared" si="1"/>
        <v>392607.11120821926</v>
      </c>
      <c r="O18" s="116"/>
      <c r="P18" s="115">
        <f>SUM(P13:P17)</f>
        <v>4300</v>
      </c>
      <c r="Q18" s="117"/>
      <c r="R18" s="115">
        <f>SUM(R13:R17)</f>
        <v>6255.622420262449</v>
      </c>
      <c r="S18" s="116"/>
      <c r="T18" s="115">
        <f t="shared" si="2"/>
        <v>403162.7336284817</v>
      </c>
      <c r="U18" s="120" t="s">
        <v>17</v>
      </c>
      <c r="V18" s="115">
        <f>SUM(V13:V17)</f>
        <v>1300</v>
      </c>
      <c r="W18" s="117"/>
      <c r="X18" s="115">
        <f>SUM(X13:X17)</f>
        <v>8050.288393451994</v>
      </c>
      <c r="Y18" s="116"/>
      <c r="Z18" s="115">
        <f t="shared" si="3"/>
        <v>412513.0220219337</v>
      </c>
    </row>
    <row r="19" spans="1:26" ht="18">
      <c r="A19" s="94" t="s">
        <v>238</v>
      </c>
      <c r="B19" s="115">
        <f>'[1]SUMMARY BUDGET MOVES '!C17+'[1]SUMMARY BUDGET MOVES '!D17+'[1]SUMMARY BUDGET MOVES '!E17</f>
        <v>4280.12</v>
      </c>
      <c r="C19" s="116"/>
      <c r="D19" s="115">
        <f>SUM('[1]SUMMARY BUDGET MOVES '!F17:N17)+SUM('[1]SUMMARY BUDGET MOVES '!P17:S17)+SUM('[1]SUMMARY BUDGET MOVES '!V17:AD17)</f>
        <v>0</v>
      </c>
      <c r="E19" s="117"/>
      <c r="F19" s="115">
        <f>'[1]SUMMARY BUDGET MOVES '!AF17+'[1]SUMMARY BUDGET MOVES '!U17</f>
        <v>85.6024</v>
      </c>
      <c r="G19" s="116"/>
      <c r="H19" s="115">
        <f t="shared" si="0"/>
        <v>4365.7224</v>
      </c>
      <c r="I19" s="116"/>
      <c r="J19" s="115">
        <v>0</v>
      </c>
      <c r="K19" s="117"/>
      <c r="L19" s="115">
        <f aca="true" t="shared" si="4" ref="L19:L24">(H19*2%/12*5)+(H19*2%/12*5)*(2%/12*7)+(H19+J19)*2%/12*7</f>
        <v>87.73889323333333</v>
      </c>
      <c r="M19" s="116"/>
      <c r="N19" s="115">
        <f t="shared" si="1"/>
        <v>4453.461293233333</v>
      </c>
      <c r="O19" s="116"/>
      <c r="P19" s="115">
        <v>0</v>
      </c>
      <c r="Q19" s="117"/>
      <c r="R19" s="115">
        <f>(N19*5%/12*5)+(N19*5%/12*5)*(5%/12*7)+(N19+P19)*5%/12*7</f>
        <v>225.3791609335966</v>
      </c>
      <c r="S19" s="116"/>
      <c r="T19" s="115">
        <f t="shared" si="2"/>
        <v>4678.84045416693</v>
      </c>
      <c r="U19" s="116"/>
      <c r="V19" s="115">
        <v>0</v>
      </c>
      <c r="W19" s="117"/>
      <c r="X19" s="115">
        <f>(T19*5%/12*5)+(T19*5%/12*5)*(5%/12*7)+(T19+V19)*5%/12*7</f>
        <v>236.78506812320484</v>
      </c>
      <c r="Y19" s="116"/>
      <c r="Z19" s="115">
        <f t="shared" si="3"/>
        <v>4915.6255222901345</v>
      </c>
    </row>
    <row r="20" spans="1:26" ht="18">
      <c r="A20" s="94" t="s">
        <v>239</v>
      </c>
      <c r="B20" s="115">
        <f>'[1]SUMMARY BUDGET MOVES '!C18+'[1]SUMMARY BUDGET MOVES '!D18+'[1]SUMMARY BUDGET MOVES '!E18</f>
        <v>3035.5</v>
      </c>
      <c r="C20" s="116"/>
      <c r="D20" s="115">
        <f>SUM('[1]SUMMARY BUDGET MOVES '!F18:N18)+SUM('[1]SUMMARY BUDGET MOVES '!P18:S18)+SUM('[1]SUMMARY BUDGET MOVES '!V18:AD18)</f>
        <v>0</v>
      </c>
      <c r="E20" s="117"/>
      <c r="F20" s="115">
        <f>'[1]SUMMARY BUDGET MOVES '!AF18+'[1]SUMMARY BUDGET MOVES '!U18</f>
        <v>60.71</v>
      </c>
      <c r="G20" s="116"/>
      <c r="H20" s="115">
        <f t="shared" si="0"/>
        <v>3096.21</v>
      </c>
      <c r="I20" s="116"/>
      <c r="J20" s="115">
        <v>0</v>
      </c>
      <c r="K20" s="117"/>
      <c r="L20" s="115">
        <f t="shared" si="4"/>
        <v>62.22522041666667</v>
      </c>
      <c r="M20" s="116"/>
      <c r="N20" s="115">
        <f t="shared" si="1"/>
        <v>3158.4352204166667</v>
      </c>
      <c r="O20" s="116"/>
      <c r="P20" s="115">
        <v>0</v>
      </c>
      <c r="Q20" s="117"/>
      <c r="R20" s="115">
        <f>(N20*2%/12*5)+(N20*2%/12*5)*(2%/12*7)+(N20+P20)*2%/12*7</f>
        <v>63.475774499207176</v>
      </c>
      <c r="S20" s="116"/>
      <c r="T20" s="115">
        <f t="shared" si="2"/>
        <v>3221.9109949158737</v>
      </c>
      <c r="U20" s="116"/>
      <c r="V20" s="115">
        <v>0</v>
      </c>
      <c r="W20" s="117"/>
      <c r="X20" s="115">
        <f>(T20*2%/12*5)+(T20*2%/12*5)*(2%/12*7)+(T20+V20)*2%/12*7</f>
        <v>64.7514612450454</v>
      </c>
      <c r="Y20" s="116"/>
      <c r="Z20" s="115">
        <f t="shared" si="3"/>
        <v>3286.662456160919</v>
      </c>
    </row>
    <row r="21" spans="1:26" ht="18">
      <c r="A21" s="121" t="s">
        <v>240</v>
      </c>
      <c r="B21" s="115">
        <f>'[1]SUMMARY BUDGET MOVES '!C19+'[1]SUMMARY BUDGET MOVES '!D19+'[1]SUMMARY BUDGET MOVES '!E19</f>
        <v>262</v>
      </c>
      <c r="C21" s="116"/>
      <c r="D21" s="115">
        <f>SUM('[1]SUMMARY BUDGET MOVES '!F19:N19)+SUM('[1]SUMMARY BUDGET MOVES '!P19:S19)+SUM('[1]SUMMARY BUDGET MOVES '!V19:AD19)</f>
        <v>0</v>
      </c>
      <c r="E21" s="117"/>
      <c r="F21" s="115">
        <f>'[1]SUMMARY BUDGET MOVES '!AF19+'[1]SUMMARY BUDGET MOVES '!U19</f>
        <v>5.24</v>
      </c>
      <c r="G21" s="116"/>
      <c r="H21" s="115">
        <f t="shared" si="0"/>
        <v>267.24</v>
      </c>
      <c r="I21" s="116"/>
      <c r="J21" s="115">
        <v>0</v>
      </c>
      <c r="K21" s="117"/>
      <c r="L21" s="115">
        <f t="shared" si="4"/>
        <v>5.370781666666667</v>
      </c>
      <c r="M21" s="116"/>
      <c r="N21" s="115">
        <f t="shared" si="1"/>
        <v>272.6107816666667</v>
      </c>
      <c r="O21" s="116"/>
      <c r="P21" s="115">
        <v>0</v>
      </c>
      <c r="Q21" s="117"/>
      <c r="R21" s="115">
        <f>(N21*2%/12*5)+(N21*2%/12*5)*(2%/12*7)+(N21+P21)*2%/12*7</f>
        <v>5.478719459328705</v>
      </c>
      <c r="S21" s="116"/>
      <c r="T21" s="115">
        <f t="shared" si="2"/>
        <v>278.0895011259954</v>
      </c>
      <c r="U21" s="116"/>
      <c r="V21" s="115">
        <v>0</v>
      </c>
      <c r="W21" s="117"/>
      <c r="X21" s="115">
        <f>(T21*2%/12*5)+(T21*2%/12*5)*(2%/12*7)+(T21+V21)*2%/12*7</f>
        <v>5.5888265017960475</v>
      </c>
      <c r="Y21" s="116"/>
      <c r="Z21" s="115">
        <f t="shared" si="3"/>
        <v>283.6783276277915</v>
      </c>
    </row>
    <row r="22" spans="1:26" ht="20.25" customHeight="1">
      <c r="A22" s="94" t="s">
        <v>241</v>
      </c>
      <c r="B22" s="115">
        <f>'[1]SUMMARY BUDGET MOVES '!C20+'[1]SUMMARY BUDGET MOVES '!D20+'[1]SUMMARY BUDGET MOVES '!E20</f>
        <v>270.12</v>
      </c>
      <c r="C22" s="116"/>
      <c r="D22" s="115">
        <f>SUM('[1]SUMMARY BUDGET MOVES '!F20:N20)+SUM('[1]SUMMARY BUDGET MOVES '!P20:S20)+SUM('[1]SUMMARY BUDGET MOVES '!V20:AD20)</f>
        <v>0</v>
      </c>
      <c r="E22" s="117"/>
      <c r="F22" s="115">
        <f>'[1]SUMMARY BUDGET MOVES '!AF20+'[1]SUMMARY BUDGET MOVES '!U20</f>
        <v>5.4024</v>
      </c>
      <c r="G22" s="116"/>
      <c r="H22" s="115">
        <f t="shared" si="0"/>
        <v>275.5224</v>
      </c>
      <c r="I22" s="116"/>
      <c r="J22" s="115">
        <v>0</v>
      </c>
      <c r="K22" s="117"/>
      <c r="L22" s="115">
        <f t="shared" si="4"/>
        <v>5.5372349</v>
      </c>
      <c r="M22" s="116"/>
      <c r="N22" s="115">
        <f t="shared" si="1"/>
        <v>281.0596349</v>
      </c>
      <c r="O22" s="116"/>
      <c r="P22" s="115">
        <v>0</v>
      </c>
      <c r="Q22" s="117"/>
      <c r="R22" s="115">
        <f>(N22*2%/12*5)+(N22*2%/12*5)*(2%/12*7)+(N22+P22)*2%/12*7</f>
        <v>5.648517940281945</v>
      </c>
      <c r="S22" s="116"/>
      <c r="T22" s="115">
        <f t="shared" si="2"/>
        <v>286.7081528402819</v>
      </c>
      <c r="U22" s="116"/>
      <c r="V22" s="115">
        <v>0</v>
      </c>
      <c r="W22" s="117"/>
      <c r="X22" s="115">
        <f>(T22*2%/12*5)+(T22*2%/12*5)*(2%/12*7)+(T22+V22)*2%/12*7</f>
        <v>5.762037460554</v>
      </c>
      <c r="Y22" s="116"/>
      <c r="Z22" s="115">
        <f t="shared" si="3"/>
        <v>292.4701903008359</v>
      </c>
    </row>
    <row r="23" spans="1:26" ht="18">
      <c r="A23" s="94" t="s">
        <v>242</v>
      </c>
      <c r="B23" s="115">
        <f>'[1]SUMMARY BUDGET MOVES '!C21+'[1]SUMMARY BUDGET MOVES '!D21+'[1]SUMMARY BUDGET MOVES '!E21</f>
        <v>1352.6239999999998</v>
      </c>
      <c r="C23" s="116"/>
      <c r="D23" s="115">
        <f>SUM('[1]SUMMARY BUDGET MOVES '!F21:N21)+SUM('[1]SUMMARY BUDGET MOVES '!P21:S21)+SUM('[1]SUMMARY BUDGET MOVES '!V21:AD21)</f>
        <v>0</v>
      </c>
      <c r="E23" s="117"/>
      <c r="F23" s="115">
        <f>'[1]SUMMARY BUDGET MOVES '!AF21+'[1]SUMMARY BUDGET MOVES '!U21</f>
        <v>27.052480000000003</v>
      </c>
      <c r="G23" s="116"/>
      <c r="H23" s="115">
        <f t="shared" si="0"/>
        <v>1379.6764799999999</v>
      </c>
      <c r="I23" s="116"/>
      <c r="J23" s="115">
        <v>0</v>
      </c>
      <c r="K23" s="117"/>
      <c r="L23" s="115">
        <f t="shared" si="4"/>
        <v>27.727664813333334</v>
      </c>
      <c r="M23" s="116"/>
      <c r="N23" s="115">
        <f t="shared" si="1"/>
        <v>1407.4041448133332</v>
      </c>
      <c r="O23" s="116"/>
      <c r="P23" s="115">
        <v>0</v>
      </c>
      <c r="Q23" s="117"/>
      <c r="R23" s="115">
        <f>(N23*2%/12*5)+(N23*2%/12*5)*(2%/12*7)+(N23+P23)*2%/12*7</f>
        <v>28.284913854790183</v>
      </c>
      <c r="S23" s="116"/>
      <c r="T23" s="115">
        <f t="shared" si="2"/>
        <v>1435.6890586681234</v>
      </c>
      <c r="U23" s="116"/>
      <c r="V23" s="115">
        <v>0</v>
      </c>
      <c r="W23" s="117"/>
      <c r="X23" s="115">
        <f>(T23*2%/12*5)+(T23*2%/12*5)*(2%/12*7)+(T23+V23)*2%/12*7</f>
        <v>28.85336205406631</v>
      </c>
      <c r="Y23" s="116"/>
      <c r="Z23" s="115">
        <f t="shared" si="3"/>
        <v>1464.5424207221897</v>
      </c>
    </row>
    <row r="24" spans="1:26" ht="18">
      <c r="A24" s="94" t="s">
        <v>243</v>
      </c>
      <c r="B24" s="115">
        <f>'[1]SUMMARY BUDGET MOVES '!C22+'[1]SUMMARY BUDGET MOVES '!D22+'[1]SUMMARY BUDGET MOVES '!E22</f>
        <v>586.756</v>
      </c>
      <c r="C24" s="116"/>
      <c r="D24" s="115">
        <f>SUM('[1]SUMMARY BUDGET MOVES '!F22:N22)+SUM('[1]SUMMARY BUDGET MOVES '!P22:S22)+SUM('[1]SUMMARY BUDGET MOVES '!V22:AD22)</f>
        <v>0</v>
      </c>
      <c r="E24" s="117"/>
      <c r="F24" s="115">
        <f>'[1]SUMMARY BUDGET MOVES '!AF22+'[1]SUMMARY BUDGET MOVES '!U22</f>
        <v>11.73512</v>
      </c>
      <c r="G24" s="116"/>
      <c r="H24" s="115">
        <f t="shared" si="0"/>
        <v>598.49112</v>
      </c>
      <c r="I24" s="116"/>
      <c r="J24" s="115">
        <v>0</v>
      </c>
      <c r="K24" s="117"/>
      <c r="L24" s="115">
        <f t="shared" si="4"/>
        <v>12.028009036666667</v>
      </c>
      <c r="M24" s="116"/>
      <c r="N24" s="115">
        <f t="shared" si="1"/>
        <v>610.5191290366666</v>
      </c>
      <c r="O24" s="116"/>
      <c r="P24" s="115">
        <v>0</v>
      </c>
      <c r="Q24" s="117"/>
      <c r="R24" s="115">
        <f>(N24*2%/12*5)+(N24*2%/12*5)*(2%/12*7)+(N24+P24)*2%/12*7</f>
        <v>12.26973860716745</v>
      </c>
      <c r="S24" s="116"/>
      <c r="T24" s="115">
        <f t="shared" si="2"/>
        <v>622.7888676438341</v>
      </c>
      <c r="U24" s="116"/>
      <c r="V24" s="115">
        <v>0</v>
      </c>
      <c r="W24" s="117"/>
      <c r="X24" s="115">
        <f>(T24*2%/12*5)+(T24*2%/12*5)*(2%/12*7)+(T24+V24)*2%/12*7</f>
        <v>12.516326270564276</v>
      </c>
      <c r="Y24" s="116"/>
      <c r="Z24" s="115">
        <f t="shared" si="3"/>
        <v>635.3051939143984</v>
      </c>
    </row>
    <row r="25" spans="1:26" ht="18">
      <c r="A25" s="94" t="s">
        <v>244</v>
      </c>
      <c r="B25" s="115">
        <f>'[1]SUMMARY BUDGET MOVES '!C23+'[1]SUMMARY BUDGET MOVES '!D23+'[1]SUMMARY BUDGET MOVES '!E23</f>
        <v>12461.604</v>
      </c>
      <c r="C25" s="116"/>
      <c r="D25" s="115">
        <f>SUM('[1]SUMMARY BUDGET MOVES '!F23:N23)+SUM('[1]SUMMARY BUDGET MOVES '!P23:S23)+SUM('[1]SUMMARY BUDGET MOVES '!V23:AD23)</f>
        <v>250</v>
      </c>
      <c r="E25" s="117"/>
      <c r="F25" s="115">
        <f>'[1]SUMMARY BUDGET MOVES '!AF23+'[1]SUMMARY BUDGET MOVES '!U23</f>
        <v>322.72917</v>
      </c>
      <c r="G25" s="116"/>
      <c r="H25" s="115">
        <f t="shared" si="0"/>
        <v>13034.33317</v>
      </c>
      <c r="I25" s="116"/>
      <c r="J25" s="115">
        <v>350</v>
      </c>
      <c r="K25" s="117"/>
      <c r="L25" s="115">
        <f>(H25*3.5%/12*5)+(H25*3.5%/12*5)*(3.5%/12*7)+(H25+J25)*3.5%/12*7</f>
        <v>467.22837646849825</v>
      </c>
      <c r="M25" s="116"/>
      <c r="N25" s="115">
        <f t="shared" si="1"/>
        <v>13851.561546468498</v>
      </c>
      <c r="O25" s="116"/>
      <c r="P25" s="115">
        <v>350</v>
      </c>
      <c r="Q25" s="117"/>
      <c r="R25" s="115">
        <f>(N25*3.5%/12*5)+(N25*3.5%/12*5)*(3.5%/12*7)+(N25+P25)*3.5%/12*7</f>
        <v>496.0746937187921</v>
      </c>
      <c r="S25" s="116"/>
      <c r="T25" s="115">
        <f t="shared" si="2"/>
        <v>14697.63624018729</v>
      </c>
      <c r="U25" s="116"/>
      <c r="V25" s="115">
        <v>500</v>
      </c>
      <c r="W25" s="117"/>
      <c r="X25" s="115">
        <f>(T25*3.5%/12*5)+(T25*3.5%/12*5)*(3.5%/12*7)+(T25+V25)*3.5%/12*7</f>
        <v>529.001720863486</v>
      </c>
      <c r="Y25" s="116"/>
      <c r="Z25" s="115">
        <f t="shared" si="3"/>
        <v>15726.637961050776</v>
      </c>
    </row>
    <row r="26" spans="1:26" ht="18">
      <c r="A26" s="94" t="s">
        <v>245</v>
      </c>
      <c r="B26" s="115">
        <f>'[1]SUMMARY BUDGET MOVES '!C24+'[1]SUMMARY BUDGET MOVES '!D24+'[1]SUMMARY BUDGET MOVES '!E24</f>
        <v>3401.9779999999996</v>
      </c>
      <c r="C26" s="116"/>
      <c r="D26" s="115">
        <f>SUM('[1]SUMMARY BUDGET MOVES '!F24:N24)+SUM('[1]SUMMARY BUDGET MOVES '!P24:S24)+SUM('[1]SUMMARY BUDGET MOVES '!V24:AD24)</f>
        <v>16</v>
      </c>
      <c r="E26" s="117"/>
      <c r="F26" s="115">
        <f>'[1]SUMMARY BUDGET MOVES '!AF24+'[1]SUMMARY BUDGET MOVES '!U24</f>
        <v>81.00485</v>
      </c>
      <c r="G26" s="116"/>
      <c r="H26" s="115">
        <f t="shared" si="0"/>
        <v>3498.9828499999994</v>
      </c>
      <c r="I26" s="116"/>
      <c r="J26" s="115">
        <v>0</v>
      </c>
      <c r="K26" s="117"/>
      <c r="L26" s="115">
        <f>(H26*2%/12*5)+(H26*2%/12*5)*(2%/12*7)+(H26+J26)*2%/12*7</f>
        <v>70.31983588819443</v>
      </c>
      <c r="M26" s="116"/>
      <c r="N26" s="115">
        <f t="shared" si="1"/>
        <v>3569.302685888194</v>
      </c>
      <c r="O26" s="116"/>
      <c r="P26" s="115">
        <v>0</v>
      </c>
      <c r="Q26" s="117"/>
      <c r="R26" s="115">
        <f>(N26*2%/12*5)+(N26*2%/12*5)*(2%/12*7)+(N26+P26)*2%/12*7</f>
        <v>71.7330692566697</v>
      </c>
      <c r="S26" s="116"/>
      <c r="T26" s="115">
        <f t="shared" si="2"/>
        <v>3641.0357551448637</v>
      </c>
      <c r="U26" s="116"/>
      <c r="V26" s="115">
        <v>0</v>
      </c>
      <c r="W26" s="117"/>
      <c r="X26" s="115">
        <f>(T26*2%/12*5)+(T26*2%/12*5)*(2%/12*7)+(T26+V26)*2%/12*7</f>
        <v>73.17470469020303</v>
      </c>
      <c r="Y26" s="116"/>
      <c r="Z26" s="115">
        <f t="shared" si="3"/>
        <v>3714.2104598350666</v>
      </c>
    </row>
    <row r="27" spans="1:26" ht="18">
      <c r="A27" s="94" t="s">
        <v>246</v>
      </c>
      <c r="B27" s="115">
        <f>'[1]SUMMARY BUDGET MOVES '!C25+'[1]SUMMARY BUDGET MOVES '!D25+'[1]SUMMARY BUDGET MOVES '!E25</f>
        <v>2749</v>
      </c>
      <c r="C27" s="116"/>
      <c r="D27" s="115">
        <f>SUM('[1]SUMMARY BUDGET MOVES '!F25:N25)+SUM('[1]SUMMARY BUDGET MOVES '!P25:S25)+SUM('[1]SUMMARY BUDGET MOVES '!V25:AD25)</f>
        <v>0</v>
      </c>
      <c r="E27" s="117"/>
      <c r="F27" s="115">
        <f>'[1]SUMMARY BUDGET MOVES '!AF25+'[1]SUMMARY BUDGET MOVES '!U25</f>
        <v>54.980000000000004</v>
      </c>
      <c r="G27" s="116"/>
      <c r="H27" s="115">
        <f t="shared" si="0"/>
        <v>2803.98</v>
      </c>
      <c r="I27" s="116"/>
      <c r="J27" s="115">
        <v>0</v>
      </c>
      <c r="K27" s="117"/>
      <c r="L27" s="115">
        <f>(H27*2%/12*5)+(H27*2%/12*5)*(2%/12*7)+(H27+J27)*2%/12*7</f>
        <v>56.35220916666667</v>
      </c>
      <c r="M27" s="116"/>
      <c r="N27" s="115">
        <f t="shared" si="1"/>
        <v>2860.332209166667</v>
      </c>
      <c r="O27" s="116"/>
      <c r="P27" s="115">
        <v>0</v>
      </c>
      <c r="Q27" s="117"/>
      <c r="R27" s="115">
        <f>(N27*2%/12*5)+(N27*2%/12*5)*(2%/12*7)+(N27+P27)*2%/12*7</f>
        <v>57.48473203700232</v>
      </c>
      <c r="S27" s="116"/>
      <c r="T27" s="115">
        <f t="shared" si="2"/>
        <v>2917.816941203669</v>
      </c>
      <c r="U27" s="116"/>
      <c r="V27" s="115">
        <v>0</v>
      </c>
      <c r="W27" s="117"/>
      <c r="X27" s="115">
        <f>(T27*2%/12*5)+(T27*2%/12*5)*(2%/12*7)+(T27+V27)*2%/12*7</f>
        <v>58.640015471134845</v>
      </c>
      <c r="Y27" s="116"/>
      <c r="Z27" s="115">
        <f t="shared" si="3"/>
        <v>2976.456956674804</v>
      </c>
    </row>
    <row r="28" spans="1:26" ht="18">
      <c r="A28" s="94" t="s">
        <v>247</v>
      </c>
      <c r="B28" s="115">
        <f>'[1]SUMMARY BUDGET MOVES '!C26+'[1]SUMMARY BUDGET MOVES '!D26+'[1]SUMMARY BUDGET MOVES '!E26</f>
        <v>8842.733</v>
      </c>
      <c r="C28" s="116"/>
      <c r="D28" s="115">
        <f>SUM('[1]SUMMARY BUDGET MOVES '!F26:N26)+SUM('[1]SUMMARY BUDGET MOVES '!P26:S26)+SUM('[1]SUMMARY BUDGET MOVES '!V26:AD26)</f>
        <v>0</v>
      </c>
      <c r="E28" s="117"/>
      <c r="F28" s="115">
        <f>'[1]SUMMARY BUDGET MOVES '!AF26+'[1]SUMMARY BUDGET MOVES '!U26</f>
        <v>386.538655</v>
      </c>
      <c r="G28" s="116"/>
      <c r="H28" s="115">
        <f t="shared" si="0"/>
        <v>9229.271655</v>
      </c>
      <c r="I28" s="116"/>
      <c r="J28" s="115">
        <v>0</v>
      </c>
      <c r="K28" s="117"/>
      <c r="L28" s="115">
        <f>(H28*3.5%/12*5)+(H28*3.5%/12*5)*(3.5%/12*7)+(H28+J28)*3.5%/12*7</f>
        <v>325.772459468112</v>
      </c>
      <c r="M28" s="116"/>
      <c r="N28" s="115">
        <f t="shared" si="1"/>
        <v>9555.044114468112</v>
      </c>
      <c r="O28" s="116"/>
      <c r="P28" s="115">
        <v>0</v>
      </c>
      <c r="Q28" s="117"/>
      <c r="R28" s="115">
        <f>(N28*3.5%/12*5)+(N28*3.5%/12*5)*(3.5%/12*7)+(N28+P28)*3.5%/12*7</f>
        <v>337.2714920369938</v>
      </c>
      <c r="S28" s="116"/>
      <c r="T28" s="115">
        <f t="shared" si="2"/>
        <v>9892.315606505106</v>
      </c>
      <c r="U28" s="116"/>
      <c r="V28" s="115">
        <v>0</v>
      </c>
      <c r="W28" s="117"/>
      <c r="X28" s="115">
        <f>(T28*3.5%/12*5)+(T28*3.5%/12*5)*(3.5%/12*7)+(T28+V28)*3.5%/12*7</f>
        <v>349.1764145028795</v>
      </c>
      <c r="Y28" s="116"/>
      <c r="Z28" s="115">
        <f t="shared" si="3"/>
        <v>10241.492021007985</v>
      </c>
    </row>
    <row r="29" spans="1:26" ht="18">
      <c r="A29" s="94" t="s">
        <v>248</v>
      </c>
      <c r="B29" s="115">
        <f>'[1]SUMMARY BUDGET MOVES '!C27+'[1]SUMMARY BUDGET MOVES '!D27+'[1]SUMMARY BUDGET MOVES '!E27</f>
        <v>4015.4</v>
      </c>
      <c r="C29" s="116"/>
      <c r="D29" s="115">
        <f>SUM('[1]SUMMARY BUDGET MOVES '!F27:N27)+SUM('[1]SUMMARY BUDGET MOVES '!P27:S27)+SUM('[1]SUMMARY BUDGET MOVES '!V27:AD27)</f>
        <v>0</v>
      </c>
      <c r="E29" s="117"/>
      <c r="F29" s="115">
        <f>'[1]SUMMARY BUDGET MOVES '!AF27+'[1]SUMMARY BUDGET MOVES '!U27</f>
        <v>412.092</v>
      </c>
      <c r="G29" s="116"/>
      <c r="H29" s="115">
        <f t="shared" si="0"/>
        <v>4427.492</v>
      </c>
      <c r="I29" s="116"/>
      <c r="J29" s="115">
        <v>0</v>
      </c>
      <c r="K29" s="117"/>
      <c r="L29" s="115">
        <f>(H29*5%/12*5)+(H29*5%/12*5)*(5%/12*7)+(H29+J29)*5%/12*7</f>
        <v>224.06491631944448</v>
      </c>
      <c r="M29" s="116"/>
      <c r="N29" s="115">
        <f t="shared" si="1"/>
        <v>4651.556916319445</v>
      </c>
      <c r="O29" s="116"/>
      <c r="P29" s="115">
        <v>0</v>
      </c>
      <c r="Q29" s="117"/>
      <c r="R29" s="115">
        <f>(N29*5%/12*5)+(N29*5%/12*5)*(5%/12*7)+(N29+P29)*5%/12*7</f>
        <v>235.40431269220804</v>
      </c>
      <c r="S29" s="116"/>
      <c r="T29" s="115">
        <f t="shared" si="2"/>
        <v>4886.961229011653</v>
      </c>
      <c r="U29" s="116"/>
      <c r="V29" s="115">
        <v>0</v>
      </c>
      <c r="W29" s="117"/>
      <c r="X29" s="115">
        <f>(T29*5%/12*5)+(T29*5%/12*5)*(5%/12*7)+(T29+V29)*5%/12*7</f>
        <v>247.3175691418224</v>
      </c>
      <c r="Y29" s="116"/>
      <c r="Z29" s="115">
        <f t="shared" si="3"/>
        <v>5134.278798153476</v>
      </c>
    </row>
    <row r="30" spans="1:26" ht="18">
      <c r="A30" s="94" t="s">
        <v>249</v>
      </c>
      <c r="B30" s="115">
        <f>'[1]SUMMARY BUDGET MOVES '!C28+'[1]SUMMARY BUDGET MOVES '!D28+'[1]SUMMARY BUDGET MOVES '!E28</f>
        <v>307</v>
      </c>
      <c r="C30" s="116"/>
      <c r="D30" s="115">
        <f>SUM('[1]SUMMARY BUDGET MOVES '!F28:N28)+SUM('[1]SUMMARY BUDGET MOVES '!P28:S28)+SUM('[1]SUMMARY BUDGET MOVES '!V28:AD28)</f>
        <v>0</v>
      </c>
      <c r="E30" s="117"/>
      <c r="F30" s="115">
        <f>'[1]SUMMARY BUDGET MOVES '!AF28+'[1]SUMMARY BUDGET MOVES '!U28</f>
        <v>6.140000000000001</v>
      </c>
      <c r="G30" s="116"/>
      <c r="H30" s="115">
        <f t="shared" si="0"/>
        <v>313.14</v>
      </c>
      <c r="I30" s="116"/>
      <c r="J30" s="115">
        <v>0</v>
      </c>
      <c r="K30" s="117"/>
      <c r="L30" s="115">
        <f>(H30*2%/12*5)+(H30*2%/12*5)*(2%/12*7)+(H30+J30)*2%/12*7</f>
        <v>6.293244166666666</v>
      </c>
      <c r="M30" s="116"/>
      <c r="N30" s="115">
        <f t="shared" si="1"/>
        <v>319.43324416666667</v>
      </c>
      <c r="O30" s="116"/>
      <c r="P30" s="115">
        <v>0</v>
      </c>
      <c r="Q30" s="117"/>
      <c r="R30" s="115">
        <f>(N30*2%/12*5)+(N30*2%/12*5)*(2%/12*7)+(N30+P30)*2%/12*7</f>
        <v>6.4197208931828715</v>
      </c>
      <c r="S30" s="116"/>
      <c r="T30" s="115">
        <f t="shared" si="2"/>
        <v>325.85296505984957</v>
      </c>
      <c r="U30" s="116"/>
      <c r="V30" s="115">
        <v>0</v>
      </c>
      <c r="W30" s="117"/>
      <c r="X30" s="115">
        <f>(T30*2%/12*5)+(T30*2%/12*5)*(2%/12*7)+(T30+V30)*2%/12*7</f>
        <v>6.548739450577811</v>
      </c>
      <c r="Y30" s="116"/>
      <c r="Z30" s="115">
        <f t="shared" si="3"/>
        <v>332.40170451042735</v>
      </c>
    </row>
    <row r="31" spans="1:26" ht="18">
      <c r="A31" s="94" t="s">
        <v>250</v>
      </c>
      <c r="B31" s="115">
        <f>'[1]SUMMARY BUDGET MOVES '!C29+'[1]SUMMARY BUDGET MOVES '!D29+'[1]SUMMARY BUDGET MOVES '!E29</f>
        <v>1702.308</v>
      </c>
      <c r="C31" s="116"/>
      <c r="D31" s="115">
        <f>SUM('[1]SUMMARY BUDGET MOVES '!F29:N29)+SUM('[1]SUMMARY BUDGET MOVES '!P29:S29)+SUM('[1]SUMMARY BUDGET MOVES '!V29:AD29)</f>
        <v>0</v>
      </c>
      <c r="E31" s="117"/>
      <c r="F31" s="115">
        <f>'[1]SUMMARY BUDGET MOVES '!AF29+'[1]SUMMARY BUDGET MOVES '!U29</f>
        <v>34.04616</v>
      </c>
      <c r="G31" s="116"/>
      <c r="H31" s="115">
        <f t="shared" si="0"/>
        <v>1736.35416</v>
      </c>
      <c r="I31" s="116"/>
      <c r="J31" s="115">
        <v>0</v>
      </c>
      <c r="K31" s="117"/>
      <c r="L31" s="115">
        <f>(H31*2%/12*5)+(H31*2%/12*5)*(2%/12*7)+(H31+J31)*2%/12*7</f>
        <v>34.89589541000001</v>
      </c>
      <c r="M31" s="116"/>
      <c r="N31" s="115">
        <f t="shared" si="1"/>
        <v>1771.2500554100002</v>
      </c>
      <c r="O31" s="116"/>
      <c r="P31" s="115">
        <v>0</v>
      </c>
      <c r="Q31" s="117"/>
      <c r="R31" s="115">
        <f>(N31*2%/12*5)+(N31*2%/12*5)*(2%/12*7)+(N31+P31)*2%/12*7</f>
        <v>35.5972059746982</v>
      </c>
      <c r="S31" s="116"/>
      <c r="T31" s="115">
        <f t="shared" si="2"/>
        <v>1806.8472613846984</v>
      </c>
      <c r="U31" s="116"/>
      <c r="V31" s="115">
        <v>0</v>
      </c>
      <c r="W31" s="117"/>
      <c r="X31" s="115">
        <f>(T31*2%/12*5)+(T31*2%/12*5)*(2%/12*7)+(T31+V31)*2%/12*7</f>
        <v>36.31261093366193</v>
      </c>
      <c r="Y31" s="116"/>
      <c r="Z31" s="115">
        <f t="shared" si="3"/>
        <v>1843.1598723183604</v>
      </c>
    </row>
    <row r="32" spans="1:26" ht="18">
      <c r="A32" s="94" t="s">
        <v>251</v>
      </c>
      <c r="B32" s="115">
        <f>'[1]SUMMARY BUDGET MOVES '!C30+'[1]SUMMARY BUDGET MOVES '!D30+'[1]SUMMARY BUDGET MOVES '!E30</f>
        <v>11658.411000000004</v>
      </c>
      <c r="C32" s="116"/>
      <c r="D32" s="115">
        <f>SUM('[1]SUMMARY BUDGET MOVES '!F30:N30)+SUM('[1]SUMMARY BUDGET MOVES '!P30:S30)+SUM('[1]SUMMARY BUDGET MOVES '!V30:AD30)</f>
        <v>0</v>
      </c>
      <c r="E32" s="117"/>
      <c r="F32" s="115">
        <f>'[1]SUMMARY BUDGET MOVES '!AF30+'[1]SUMMARY BUDGET MOVES '!U30</f>
        <v>567.3681000000001</v>
      </c>
      <c r="G32" s="116"/>
      <c r="H32" s="115">
        <f t="shared" si="0"/>
        <v>12225.779100000003</v>
      </c>
      <c r="I32" s="116"/>
      <c r="J32" s="115">
        <v>0</v>
      </c>
      <c r="K32" s="117"/>
      <c r="L32" s="115">
        <f>4355*10%+5000*2%</f>
        <v>535.5</v>
      </c>
      <c r="M32" s="116"/>
      <c r="N32" s="115">
        <f t="shared" si="1"/>
        <v>12761.279100000003</v>
      </c>
      <c r="O32" s="116"/>
      <c r="P32" s="115">
        <v>0</v>
      </c>
      <c r="Q32" s="117"/>
      <c r="R32" s="115">
        <f>4800*10%+5000*2.5%</f>
        <v>605</v>
      </c>
      <c r="S32" s="116"/>
      <c r="T32" s="115">
        <f t="shared" si="2"/>
        <v>13366.279100000003</v>
      </c>
      <c r="U32" s="116"/>
      <c r="V32" s="115">
        <v>0</v>
      </c>
      <c r="W32" s="117"/>
      <c r="X32" s="115">
        <f>5400*10%+5200*2%</f>
        <v>644</v>
      </c>
      <c r="Y32" s="116"/>
      <c r="Z32" s="115">
        <f t="shared" si="3"/>
        <v>14010.279100000003</v>
      </c>
    </row>
    <row r="33" spans="1:26" ht="18">
      <c r="A33" s="94" t="s">
        <v>252</v>
      </c>
      <c r="B33" s="115">
        <f>'[1]SUMMARY BUDGET MOVES '!C31+'[1]SUMMARY BUDGET MOVES '!D31+'[1]SUMMARY BUDGET MOVES '!E31</f>
        <v>221.607</v>
      </c>
      <c r="C33" s="116"/>
      <c r="D33" s="115">
        <f>SUM('[1]SUMMARY BUDGET MOVES '!F31:N31)+SUM('[1]SUMMARY BUDGET MOVES '!P31:S31)+SUM('[1]SUMMARY BUDGET MOVES '!V31:AD31)</f>
        <v>0</v>
      </c>
      <c r="E33" s="117"/>
      <c r="F33" s="115">
        <f>'[1]SUMMARY BUDGET MOVES '!AF31+'[1]SUMMARY BUDGET MOVES '!U31</f>
        <v>4.43214</v>
      </c>
      <c r="G33" s="116"/>
      <c r="H33" s="115">
        <f t="shared" si="0"/>
        <v>226.03914</v>
      </c>
      <c r="I33" s="116"/>
      <c r="J33" s="115">
        <v>0</v>
      </c>
      <c r="K33" s="117"/>
      <c r="L33" s="115">
        <f aca="true" t="shared" si="5" ref="L33:L44">(H33*2%/12*5)+(H33*2%/12*5)*(2%/12*7)+(H33+J33)*2%/12*7</f>
        <v>4.5427588275</v>
      </c>
      <c r="M33" s="116"/>
      <c r="N33" s="115">
        <f t="shared" si="1"/>
        <v>230.5818988275</v>
      </c>
      <c r="O33" s="116"/>
      <c r="P33" s="115">
        <v>0</v>
      </c>
      <c r="Q33" s="117"/>
      <c r="R33" s="115">
        <f aca="true" t="shared" si="6" ref="R33:R44">(N33*2%/12*5)+(N33*2%/12*5)*(2%/12*7)+(N33+P33)*2%/12*7</f>
        <v>4.634055661158229</v>
      </c>
      <c r="S33" s="116"/>
      <c r="T33" s="115">
        <f t="shared" si="2"/>
        <v>235.2159544886582</v>
      </c>
      <c r="U33" s="116"/>
      <c r="V33" s="115">
        <v>0</v>
      </c>
      <c r="W33" s="117"/>
      <c r="X33" s="115">
        <f aca="true" t="shared" si="7" ref="X33:X44">(T33*2%/12*5)+(T33*2%/12*5)*(2%/12*7)+(T33+V33)*2%/12*7</f>
        <v>4.727187307570672</v>
      </c>
      <c r="Y33" s="116"/>
      <c r="Z33" s="115">
        <f t="shared" si="3"/>
        <v>239.94314179622887</v>
      </c>
    </row>
    <row r="34" spans="1:26" ht="18">
      <c r="A34" s="94" t="s">
        <v>253</v>
      </c>
      <c r="B34" s="115">
        <f>'[1]SUMMARY BUDGET MOVES '!C32+'[1]SUMMARY BUDGET MOVES '!D32+'[1]SUMMARY BUDGET MOVES '!E32</f>
        <v>645.5</v>
      </c>
      <c r="C34" s="116"/>
      <c r="D34" s="115">
        <f>SUM('[1]SUMMARY BUDGET MOVES '!F32:N32)+SUM('[1]SUMMARY BUDGET MOVES '!P32:S32)+SUM('[1]SUMMARY BUDGET MOVES '!V32:AD32)</f>
        <v>0</v>
      </c>
      <c r="E34" s="117"/>
      <c r="F34" s="115">
        <f>'[1]SUMMARY BUDGET MOVES '!AF32+'[1]SUMMARY BUDGET MOVES '!U32</f>
        <v>0.01</v>
      </c>
      <c r="G34" s="116"/>
      <c r="H34" s="115">
        <f t="shared" si="0"/>
        <v>645.51</v>
      </c>
      <c r="I34" s="116"/>
      <c r="J34" s="115">
        <v>0</v>
      </c>
      <c r="K34" s="117"/>
      <c r="L34" s="115">
        <f t="shared" si="5"/>
        <v>12.972957916666665</v>
      </c>
      <c r="M34" s="116"/>
      <c r="N34" s="115">
        <f t="shared" si="1"/>
        <v>658.4829579166667</v>
      </c>
      <c r="O34" s="116"/>
      <c r="P34" s="115">
        <v>0</v>
      </c>
      <c r="Q34" s="117"/>
      <c r="R34" s="115">
        <f t="shared" si="6"/>
        <v>13.233678334797453</v>
      </c>
      <c r="S34" s="116"/>
      <c r="T34" s="115">
        <f t="shared" si="2"/>
        <v>671.7166362514641</v>
      </c>
      <c r="U34" s="116"/>
      <c r="V34" s="115">
        <v>0</v>
      </c>
      <c r="W34" s="117"/>
      <c r="X34" s="115">
        <f t="shared" si="7"/>
        <v>13.499638509109285</v>
      </c>
      <c r="Y34" s="116"/>
      <c r="Z34" s="115">
        <f t="shared" si="3"/>
        <v>685.2162747605735</v>
      </c>
    </row>
    <row r="35" spans="1:26" ht="18">
      <c r="A35" s="94" t="s">
        <v>254</v>
      </c>
      <c r="B35" s="115">
        <f>'[1]SUMMARY BUDGET MOVES '!C33+'[1]SUMMARY BUDGET MOVES '!D33+'[1]SUMMARY BUDGET MOVES '!E33</f>
        <v>71</v>
      </c>
      <c r="C35" s="116"/>
      <c r="D35" s="115">
        <f>SUM('[1]SUMMARY BUDGET MOVES '!F33:N33)+SUM('[1]SUMMARY BUDGET MOVES '!P33:S33)+SUM('[1]SUMMARY BUDGET MOVES '!V33:AD33)</f>
        <v>0</v>
      </c>
      <c r="E35" s="117"/>
      <c r="F35" s="115">
        <f>'[1]SUMMARY BUDGET MOVES '!AF33+'[1]SUMMARY BUDGET MOVES '!U33</f>
        <v>1.42</v>
      </c>
      <c r="G35" s="116"/>
      <c r="H35" s="115">
        <f t="shared" si="0"/>
        <v>72.42</v>
      </c>
      <c r="I35" s="116"/>
      <c r="J35" s="115">
        <v>0</v>
      </c>
      <c r="K35" s="117"/>
      <c r="L35" s="115">
        <f t="shared" si="5"/>
        <v>1.4554408333333335</v>
      </c>
      <c r="M35" s="116"/>
      <c r="N35" s="115">
        <f t="shared" si="1"/>
        <v>73.87544083333333</v>
      </c>
      <c r="O35" s="116"/>
      <c r="P35" s="115">
        <v>0</v>
      </c>
      <c r="Q35" s="117"/>
      <c r="R35" s="115">
        <f t="shared" si="6"/>
        <v>1.4846911511921295</v>
      </c>
      <c r="S35" s="116"/>
      <c r="T35" s="115">
        <f t="shared" si="2"/>
        <v>75.36013198452545</v>
      </c>
      <c r="U35" s="116"/>
      <c r="V35" s="115">
        <v>0</v>
      </c>
      <c r="W35" s="117"/>
      <c r="X35" s="115">
        <f t="shared" si="7"/>
        <v>1.5145293191890046</v>
      </c>
      <c r="Y35" s="116"/>
      <c r="Z35" s="115">
        <f t="shared" si="3"/>
        <v>76.87466130371446</v>
      </c>
    </row>
    <row r="36" spans="1:26" ht="18">
      <c r="A36" s="94" t="s">
        <v>255</v>
      </c>
      <c r="B36" s="115">
        <f>'[1]SUMMARY BUDGET MOVES '!C34+'[1]SUMMARY BUDGET MOVES '!D34+'[1]SUMMARY BUDGET MOVES '!E34</f>
        <v>151.168</v>
      </c>
      <c r="C36" s="116"/>
      <c r="D36" s="115">
        <f>SUM('[1]SUMMARY BUDGET MOVES '!F34:N34)+SUM('[1]SUMMARY BUDGET MOVES '!P34:S34)+SUM('[1]SUMMARY BUDGET MOVES '!V34:AD34)</f>
        <v>0</v>
      </c>
      <c r="E36" s="117"/>
      <c r="F36" s="115">
        <f>'[1]SUMMARY BUDGET MOVES '!AF34+'[1]SUMMARY BUDGET MOVES '!U34</f>
        <v>3.0233600000000003</v>
      </c>
      <c r="G36" s="116"/>
      <c r="H36" s="115">
        <f t="shared" si="0"/>
        <v>154.19136</v>
      </c>
      <c r="I36" s="116"/>
      <c r="J36" s="115">
        <v>0</v>
      </c>
      <c r="K36" s="117"/>
      <c r="L36" s="115">
        <f t="shared" si="5"/>
        <v>3.0988180266666667</v>
      </c>
      <c r="M36" s="116"/>
      <c r="N36" s="115">
        <f t="shared" si="1"/>
        <v>157.29017802666667</v>
      </c>
      <c r="O36" s="116"/>
      <c r="P36" s="115">
        <v>0</v>
      </c>
      <c r="Q36" s="117"/>
      <c r="R36" s="115">
        <f t="shared" si="6"/>
        <v>3.161095661174815</v>
      </c>
      <c r="S36" s="116"/>
      <c r="T36" s="115">
        <f t="shared" si="2"/>
        <v>160.45127368784148</v>
      </c>
      <c r="U36" s="116"/>
      <c r="V36" s="115">
        <v>0</v>
      </c>
      <c r="W36" s="117"/>
      <c r="X36" s="115">
        <f t="shared" si="7"/>
        <v>3.2246249031431473</v>
      </c>
      <c r="Y36" s="116"/>
      <c r="Z36" s="115">
        <f t="shared" si="3"/>
        <v>163.67589859098462</v>
      </c>
    </row>
    <row r="37" spans="1:26" ht="18">
      <c r="A37" s="94" t="s">
        <v>256</v>
      </c>
      <c r="B37" s="115">
        <f>'[1]SUMMARY BUDGET MOVES '!C35+'[1]SUMMARY BUDGET MOVES '!D35+'[1]SUMMARY BUDGET MOVES '!E35</f>
        <v>2841.5559999999996</v>
      </c>
      <c r="C37" s="116"/>
      <c r="D37" s="115">
        <f>SUM('[1]SUMMARY BUDGET MOVES '!F35:N35)+SUM('[1]SUMMARY BUDGET MOVES '!P35:S35)+SUM('[1]SUMMARY BUDGET MOVES '!V35:AD35)</f>
        <v>0</v>
      </c>
      <c r="E37" s="117"/>
      <c r="F37" s="115">
        <f>'[1]SUMMARY BUDGET MOVES '!AF35+'[1]SUMMARY BUDGET MOVES '!U35</f>
        <v>56.83112000000001</v>
      </c>
      <c r="G37" s="116"/>
      <c r="H37" s="115">
        <f t="shared" si="0"/>
        <v>2898.3871199999994</v>
      </c>
      <c r="I37" s="116" t="s">
        <v>17</v>
      </c>
      <c r="J37" s="115">
        <v>0</v>
      </c>
      <c r="K37" s="117"/>
      <c r="L37" s="115">
        <f t="shared" si="5"/>
        <v>58.249530036666656</v>
      </c>
      <c r="M37" s="116"/>
      <c r="N37" s="115">
        <f t="shared" si="1"/>
        <v>2956.636650036666</v>
      </c>
      <c r="O37" s="116"/>
      <c r="P37" s="115">
        <v>0</v>
      </c>
      <c r="Q37" s="117"/>
      <c r="R37" s="115">
        <f t="shared" si="6"/>
        <v>59.42018378615355</v>
      </c>
      <c r="S37" s="116"/>
      <c r="T37" s="115">
        <f t="shared" si="2"/>
        <v>3016.05683382282</v>
      </c>
      <c r="U37" s="116"/>
      <c r="V37" s="115">
        <v>0</v>
      </c>
      <c r="W37" s="117"/>
      <c r="X37" s="115">
        <f t="shared" si="7"/>
        <v>60.614364424189176</v>
      </c>
      <c r="Y37" s="116"/>
      <c r="Z37" s="115">
        <f t="shared" si="3"/>
        <v>3076.671198247009</v>
      </c>
    </row>
    <row r="38" spans="1:26" ht="18">
      <c r="A38" s="94" t="s">
        <v>257</v>
      </c>
      <c r="B38" s="115">
        <f>'[1]SUMMARY BUDGET MOVES '!C36+'[1]SUMMARY BUDGET MOVES '!D36+'[1]SUMMARY BUDGET MOVES '!E36</f>
        <v>1114.803</v>
      </c>
      <c r="C38" s="116"/>
      <c r="D38" s="115">
        <f>SUM('[1]SUMMARY BUDGET MOVES '!F36:N36)+SUM('[1]SUMMARY BUDGET MOVES '!P36:S36)+SUM('[1]SUMMARY BUDGET MOVES '!V36:AD36)</f>
        <v>0</v>
      </c>
      <c r="E38" s="117"/>
      <c r="F38" s="115">
        <f>'[1]SUMMARY BUDGET MOVES '!AF36+'[1]SUMMARY BUDGET MOVES '!U36</f>
        <v>22.296060000000004</v>
      </c>
      <c r="G38" s="116"/>
      <c r="H38" s="115">
        <f t="shared" si="0"/>
        <v>1137.09906</v>
      </c>
      <c r="I38" s="116"/>
      <c r="J38" s="115">
        <v>0</v>
      </c>
      <c r="K38" s="117"/>
      <c r="L38" s="115">
        <f t="shared" si="5"/>
        <v>22.8525324975</v>
      </c>
      <c r="M38" s="116"/>
      <c r="N38" s="115">
        <f t="shared" si="1"/>
        <v>1159.9515924975</v>
      </c>
      <c r="O38" s="116"/>
      <c r="P38" s="115">
        <v>0</v>
      </c>
      <c r="Q38" s="117"/>
      <c r="R38" s="115">
        <f t="shared" si="6"/>
        <v>23.311804921442818</v>
      </c>
      <c r="S38" s="116"/>
      <c r="T38" s="115">
        <f t="shared" si="2"/>
        <v>1183.263397418943</v>
      </c>
      <c r="U38" s="116"/>
      <c r="V38" s="115">
        <v>0</v>
      </c>
      <c r="W38" s="117"/>
      <c r="X38" s="115">
        <f t="shared" si="7"/>
        <v>23.780307445350147</v>
      </c>
      <c r="Y38" s="116"/>
      <c r="Z38" s="115">
        <f t="shared" si="3"/>
        <v>1207.0437048642932</v>
      </c>
    </row>
    <row r="39" spans="1:26" ht="18">
      <c r="A39" s="94" t="s">
        <v>258</v>
      </c>
      <c r="B39" s="115">
        <f>'[1]SUMMARY BUDGET MOVES '!C37+'[1]SUMMARY BUDGET MOVES '!D37+'[1]SUMMARY BUDGET MOVES '!E37</f>
        <v>719.79</v>
      </c>
      <c r="C39" s="116"/>
      <c r="D39" s="115">
        <f>SUM('[1]SUMMARY BUDGET MOVES '!F37:N37)+SUM('[1]SUMMARY BUDGET MOVES '!P37:S37)+SUM('[1]SUMMARY BUDGET MOVES '!V37:AD37)</f>
        <v>0</v>
      </c>
      <c r="E39" s="117"/>
      <c r="F39" s="115">
        <f>'[1]SUMMARY BUDGET MOVES '!AF37+'[1]SUMMARY BUDGET MOVES '!U37</f>
        <v>14.3958</v>
      </c>
      <c r="G39" s="116"/>
      <c r="H39" s="115">
        <f t="shared" si="0"/>
        <v>734.1858</v>
      </c>
      <c r="I39" s="116"/>
      <c r="J39" s="115">
        <v>0</v>
      </c>
      <c r="K39" s="117"/>
      <c r="L39" s="115">
        <f t="shared" si="5"/>
        <v>14.755095175000001</v>
      </c>
      <c r="M39" s="116"/>
      <c r="N39" s="115">
        <f t="shared" si="1"/>
        <v>748.9408951749999</v>
      </c>
      <c r="O39" s="116"/>
      <c r="P39" s="115">
        <v>0</v>
      </c>
      <c r="Q39" s="117"/>
      <c r="R39" s="115">
        <f t="shared" si="6"/>
        <v>15.051631601642013</v>
      </c>
      <c r="S39" s="116"/>
      <c r="T39" s="115">
        <f t="shared" si="2"/>
        <v>763.992526776642</v>
      </c>
      <c r="U39" s="116"/>
      <c r="V39" s="115">
        <v>0</v>
      </c>
      <c r="W39" s="117"/>
      <c r="X39" s="115">
        <f t="shared" si="7"/>
        <v>15.354127586747236</v>
      </c>
      <c r="Y39" s="116"/>
      <c r="Z39" s="115">
        <f t="shared" si="3"/>
        <v>779.3466543633892</v>
      </c>
    </row>
    <row r="40" spans="1:26" ht="18">
      <c r="A40" s="94" t="s">
        <v>259</v>
      </c>
      <c r="B40" s="115">
        <f>'[1]SUMMARY BUDGET MOVES '!C38+'[1]SUMMARY BUDGET MOVES '!D38+'[1]SUMMARY BUDGET MOVES '!E38</f>
        <v>382.275</v>
      </c>
      <c r="C40" s="116"/>
      <c r="D40" s="115">
        <f>SUM('[1]SUMMARY BUDGET MOVES '!F38:N38)+SUM('[1]SUMMARY BUDGET MOVES '!P38:S38)+SUM('[1]SUMMARY BUDGET MOVES '!V38:AD38)</f>
        <v>0</v>
      </c>
      <c r="E40" s="117"/>
      <c r="F40" s="115">
        <f>'[1]SUMMARY BUDGET MOVES '!AF38+'[1]SUMMARY BUDGET MOVES '!U38</f>
        <v>7.645499999999999</v>
      </c>
      <c r="G40" s="116"/>
      <c r="H40" s="115">
        <f t="shared" si="0"/>
        <v>389.9205</v>
      </c>
      <c r="I40" s="116"/>
      <c r="J40" s="115">
        <v>0</v>
      </c>
      <c r="K40" s="117"/>
      <c r="L40" s="115">
        <f t="shared" si="5"/>
        <v>7.836318937500001</v>
      </c>
      <c r="M40" s="116"/>
      <c r="N40" s="115">
        <f t="shared" si="1"/>
        <v>397.7568189375</v>
      </c>
      <c r="O40" s="116"/>
      <c r="P40" s="115">
        <v>0</v>
      </c>
      <c r="Q40" s="117"/>
      <c r="R40" s="115">
        <f t="shared" si="6"/>
        <v>7.993807180591146</v>
      </c>
      <c r="S40" s="116"/>
      <c r="T40" s="115">
        <f t="shared" si="2"/>
        <v>405.75062611809113</v>
      </c>
      <c r="U40" s="116"/>
      <c r="V40" s="115">
        <v>0</v>
      </c>
      <c r="W40" s="117"/>
      <c r="X40" s="115">
        <f t="shared" si="7"/>
        <v>8.154460499901083</v>
      </c>
      <c r="Y40" s="116"/>
      <c r="Z40" s="115">
        <f t="shared" si="3"/>
        <v>413.9050866179922</v>
      </c>
    </row>
    <row r="41" spans="1:26" ht="18">
      <c r="A41" s="94" t="s">
        <v>260</v>
      </c>
      <c r="B41" s="115">
        <f>'[1]SUMMARY BUDGET MOVES '!C39+'[1]SUMMARY BUDGET MOVES '!D39+'[1]SUMMARY BUDGET MOVES '!E39</f>
        <v>645.425</v>
      </c>
      <c r="C41" s="116"/>
      <c r="D41" s="115">
        <f>SUM('[1]SUMMARY BUDGET MOVES '!F39:N39)+SUM('[1]SUMMARY BUDGET MOVES '!P39:S39)+SUM('[1]SUMMARY BUDGET MOVES '!V39:AD39)</f>
        <v>0</v>
      </c>
      <c r="E41" s="117"/>
      <c r="F41" s="115">
        <f>'[1]SUMMARY BUDGET MOVES '!AF39+'[1]SUMMARY BUDGET MOVES '!U39</f>
        <v>12.9085</v>
      </c>
      <c r="G41" s="116"/>
      <c r="H41" s="115">
        <f t="shared" si="0"/>
        <v>658.3335</v>
      </c>
      <c r="I41" s="116"/>
      <c r="J41" s="115">
        <v>0</v>
      </c>
      <c r="K41" s="117"/>
      <c r="L41" s="115">
        <f t="shared" si="5"/>
        <v>13.230674645833332</v>
      </c>
      <c r="M41" s="116"/>
      <c r="N41" s="115">
        <f t="shared" si="1"/>
        <v>671.5641746458333</v>
      </c>
      <c r="O41" s="116"/>
      <c r="P41" s="115">
        <v>0</v>
      </c>
      <c r="Q41" s="117"/>
      <c r="R41" s="115">
        <f t="shared" si="6"/>
        <v>13.496574454340566</v>
      </c>
      <c r="S41" s="116"/>
      <c r="T41" s="115">
        <f t="shared" si="2"/>
        <v>685.0607491001739</v>
      </c>
      <c r="U41" s="116"/>
      <c r="V41" s="115">
        <v>0</v>
      </c>
      <c r="W41" s="117"/>
      <c r="X41" s="115">
        <f t="shared" si="7"/>
        <v>13.767818110388216</v>
      </c>
      <c r="Y41" s="116"/>
      <c r="Z41" s="115">
        <f t="shared" si="3"/>
        <v>698.8285672105621</v>
      </c>
    </row>
    <row r="42" spans="1:26" ht="18">
      <c r="A42" s="94" t="s">
        <v>261</v>
      </c>
      <c r="B42" s="115">
        <f>'[1]SUMMARY BUDGET MOVES '!C40+'[1]SUMMARY BUDGET MOVES '!D40+'[1]SUMMARY BUDGET MOVES '!E40</f>
        <v>191.86</v>
      </c>
      <c r="C42" s="116"/>
      <c r="D42" s="115">
        <f>SUM('[1]SUMMARY BUDGET MOVES '!F40:N40)+SUM('[1]SUMMARY BUDGET MOVES '!P40:S40)+SUM('[1]SUMMARY BUDGET MOVES '!V40:AD40)</f>
        <v>0</v>
      </c>
      <c r="E42" s="117"/>
      <c r="F42" s="115">
        <f>'[1]SUMMARY BUDGET MOVES '!AF40+'[1]SUMMARY BUDGET MOVES '!U40</f>
        <v>3.8372</v>
      </c>
      <c r="G42" s="116"/>
      <c r="H42" s="115">
        <f t="shared" si="0"/>
        <v>195.6972</v>
      </c>
      <c r="I42" s="116"/>
      <c r="J42" s="115">
        <v>0</v>
      </c>
      <c r="K42" s="117"/>
      <c r="L42" s="115">
        <f t="shared" si="5"/>
        <v>3.9329701166666666</v>
      </c>
      <c r="M42" s="116"/>
      <c r="N42" s="115">
        <f t="shared" si="1"/>
        <v>199.63017011666668</v>
      </c>
      <c r="O42" s="116"/>
      <c r="P42" s="115">
        <v>0</v>
      </c>
      <c r="Q42" s="117"/>
      <c r="R42" s="115">
        <f t="shared" si="6"/>
        <v>4.0120118910946765</v>
      </c>
      <c r="S42" s="116"/>
      <c r="T42" s="115">
        <f t="shared" si="2"/>
        <v>203.64218200776136</v>
      </c>
      <c r="U42" s="116"/>
      <c r="V42" s="115">
        <v>0</v>
      </c>
      <c r="W42" s="117"/>
      <c r="X42" s="115">
        <f t="shared" si="7"/>
        <v>4.092642185628204</v>
      </c>
      <c r="Y42" s="116"/>
      <c r="Z42" s="115">
        <f t="shared" si="3"/>
        <v>207.73482419338956</v>
      </c>
    </row>
    <row r="43" spans="1:26" ht="18">
      <c r="A43" s="94" t="s">
        <v>262</v>
      </c>
      <c r="B43" s="115">
        <f>'[1]SUMMARY BUDGET MOVES '!C41+'[1]SUMMARY BUDGET MOVES '!D41+'[1]SUMMARY BUDGET MOVES '!E41</f>
        <v>187.625</v>
      </c>
      <c r="C43" s="116"/>
      <c r="D43" s="115">
        <f>SUM('[1]SUMMARY BUDGET MOVES '!F41:N41)+SUM('[1]SUMMARY BUDGET MOVES '!P41:S41)+SUM('[1]SUMMARY BUDGET MOVES '!V41:AD41)</f>
        <v>0</v>
      </c>
      <c r="E43" s="117"/>
      <c r="F43" s="115">
        <f>'[1]SUMMARY BUDGET MOVES '!AF41+'[1]SUMMARY BUDGET MOVES '!U41</f>
        <v>3.7525</v>
      </c>
      <c r="G43" s="116"/>
      <c r="H43" s="115">
        <f t="shared" si="0"/>
        <v>191.3775</v>
      </c>
      <c r="I43" s="116"/>
      <c r="J43" s="115">
        <v>0</v>
      </c>
      <c r="K43" s="117"/>
      <c r="L43" s="115">
        <f t="shared" si="5"/>
        <v>3.846156145833333</v>
      </c>
      <c r="M43" s="116"/>
      <c r="N43" s="115">
        <f t="shared" si="1"/>
        <v>195.22365614583333</v>
      </c>
      <c r="O43" s="116"/>
      <c r="P43" s="115">
        <v>0</v>
      </c>
      <c r="Q43" s="117"/>
      <c r="R43" s="115">
        <f t="shared" si="6"/>
        <v>3.923453200597512</v>
      </c>
      <c r="S43" s="116"/>
      <c r="T43" s="115">
        <f t="shared" si="2"/>
        <v>199.14710934643085</v>
      </c>
      <c r="U43" s="116"/>
      <c r="V43" s="115">
        <v>0</v>
      </c>
      <c r="W43" s="117"/>
      <c r="X43" s="115">
        <f t="shared" si="7"/>
        <v>4.002303711448409</v>
      </c>
      <c r="Y43" s="116"/>
      <c r="Z43" s="115">
        <f t="shared" si="3"/>
        <v>203.14941305787926</v>
      </c>
    </row>
    <row r="44" spans="1:26" ht="18">
      <c r="A44" s="94" t="s">
        <v>263</v>
      </c>
      <c r="B44" s="115">
        <f>'[1]SUMMARY BUDGET MOVES '!C42+'[1]SUMMARY BUDGET MOVES '!D42+'[1]SUMMARY BUDGET MOVES '!E42</f>
        <v>1752.39048</v>
      </c>
      <c r="C44" s="116"/>
      <c r="D44" s="115">
        <f>SUM('[1]SUMMARY BUDGET MOVES '!F42:N42)+SUM('[1]SUMMARY BUDGET MOVES '!P42:S42)+SUM('[1]SUMMARY BUDGET MOVES '!V42:AD42)</f>
        <v>-105.7</v>
      </c>
      <c r="E44" s="117"/>
      <c r="F44" s="115">
        <f>'[1]SUMMARY BUDGET MOVES '!AF42+'[1]SUMMARY BUDGET MOVES '!U42</f>
        <v>32.933809600000004</v>
      </c>
      <c r="G44" s="116"/>
      <c r="H44" s="115">
        <f t="shared" si="0"/>
        <v>1679.6242895999999</v>
      </c>
      <c r="I44" s="116"/>
      <c r="J44" s="115">
        <v>-265</v>
      </c>
      <c r="K44" s="117"/>
      <c r="L44" s="115">
        <f t="shared" si="5"/>
        <v>30.664115931266664</v>
      </c>
      <c r="M44" s="116"/>
      <c r="N44" s="115">
        <f t="shared" si="1"/>
        <v>1445.2884055312666</v>
      </c>
      <c r="O44" s="116"/>
      <c r="P44" s="115">
        <v>0</v>
      </c>
      <c r="Q44" s="117"/>
      <c r="R44" s="115">
        <f t="shared" si="6"/>
        <v>29.046282261163096</v>
      </c>
      <c r="S44" s="116"/>
      <c r="T44" s="115">
        <f t="shared" si="2"/>
        <v>1474.3346877924296</v>
      </c>
      <c r="U44" s="116"/>
      <c r="V44" s="115">
        <v>0</v>
      </c>
      <c r="W44" s="117"/>
      <c r="X44" s="115">
        <f t="shared" si="7"/>
        <v>29.63003185049508</v>
      </c>
      <c r="Y44" s="116"/>
      <c r="Z44" s="115">
        <f t="shared" si="3"/>
        <v>1503.9647196429246</v>
      </c>
    </row>
    <row r="45" spans="1:26" ht="18">
      <c r="A45" s="94" t="s">
        <v>264</v>
      </c>
      <c r="B45" s="115">
        <f>'[1]SUMMARY BUDGET MOVES '!C43+'[1]SUMMARY BUDGET MOVES '!D43+'[1]SUMMARY BUDGET MOVES '!E43</f>
        <v>1243.76</v>
      </c>
      <c r="C45" s="116"/>
      <c r="D45" s="115">
        <f>SUM('[1]SUMMARY BUDGET MOVES '!F43:N43)+SUM('[1]SUMMARY BUDGET MOVES '!P43:S43)+SUM('[1]SUMMARY BUDGET MOVES '!V43:AD43)</f>
        <v>0</v>
      </c>
      <c r="E45" s="117"/>
      <c r="F45" s="115">
        <f>'[1]SUMMARY BUDGET MOVES '!AF43+'[1]SUMMARY BUDGET MOVES '!U43</f>
        <v>71.3452</v>
      </c>
      <c r="G45" s="116"/>
      <c r="H45" s="115">
        <f t="shared" si="0"/>
        <v>1315.1052</v>
      </c>
      <c r="I45" s="116"/>
      <c r="J45" s="115">
        <v>0</v>
      </c>
      <c r="K45" s="117"/>
      <c r="L45" s="115">
        <f>(H45*5%/12*5)+(H45*5%/12*5)*(5%/12*7)+(H45+J45)*5%/12*7</f>
        <v>66.5543690625</v>
      </c>
      <c r="M45" s="116"/>
      <c r="N45" s="115">
        <f t="shared" si="1"/>
        <v>1381.6595690625</v>
      </c>
      <c r="O45" s="116"/>
      <c r="P45" s="115">
        <v>0</v>
      </c>
      <c r="Q45" s="117"/>
      <c r="R45" s="115">
        <f>(N45*5%/12*5)+(N45*5%/12*5)*(5%/12*7)+(N45+P45)*5%/12*7</f>
        <v>69.92252853849283</v>
      </c>
      <c r="S45" s="116"/>
      <c r="T45" s="115">
        <f t="shared" si="2"/>
        <v>1451.5820976009927</v>
      </c>
      <c r="U45" s="116"/>
      <c r="V45" s="115">
        <v>0</v>
      </c>
      <c r="W45" s="117"/>
      <c r="X45" s="115">
        <f>(T45*5%/12*5)+(T45*5%/12*5)*(5%/12*7)+(T45+V45)*5%/12*7</f>
        <v>73.46114261296691</v>
      </c>
      <c r="Y45" s="116"/>
      <c r="Z45" s="115">
        <f t="shared" si="3"/>
        <v>1525.0432402139595</v>
      </c>
    </row>
    <row r="46" spans="1:26" ht="18">
      <c r="A46" s="94" t="s">
        <v>92</v>
      </c>
      <c r="B46" s="115">
        <f>'[1]SUMMARY BUDGET MOVES '!C44+'[1]SUMMARY BUDGET MOVES '!D44+'[1]SUMMARY BUDGET MOVES '!E44</f>
        <v>626.811</v>
      </c>
      <c r="C46" s="116"/>
      <c r="D46" s="115">
        <f>SUM('[1]SUMMARY BUDGET MOVES '!F44:N44)+SUM('[1]SUMMARY BUDGET MOVES '!P44:S44)+SUM('[1]SUMMARY BUDGET MOVES '!V44:AD44)</f>
        <v>652.4</v>
      </c>
      <c r="E46" s="117"/>
      <c r="F46" s="115">
        <f>'[1]SUMMARY BUDGET MOVES '!AF44+'[1]SUMMARY BUDGET MOVES '!U44</f>
        <v>23.584220000000002</v>
      </c>
      <c r="G46" s="116"/>
      <c r="H46" s="115">
        <f t="shared" si="0"/>
        <v>1302.79522</v>
      </c>
      <c r="I46" s="116"/>
      <c r="J46" s="115">
        <f>1218+843</f>
        <v>2061</v>
      </c>
      <c r="K46" s="117"/>
      <c r="L46" s="115">
        <f>(H46*2%/12*5)+(H46*2%/12*5)*(2%/12*7)+(H46+J46)*2%/12*7</f>
        <v>50.22756504638889</v>
      </c>
      <c r="M46" s="116"/>
      <c r="N46" s="115">
        <f t="shared" si="1"/>
        <v>3414.022785046389</v>
      </c>
      <c r="O46" s="116"/>
      <c r="P46" s="115">
        <v>-354</v>
      </c>
      <c r="Q46" s="117"/>
      <c r="R46" s="115">
        <f>(N46*2%/12*5)+(N46*2%/12*5)*(2%/12*7)+(N46+P46)*2%/12*7</f>
        <v>64.48237458280728</v>
      </c>
      <c r="S46" s="116"/>
      <c r="T46" s="115">
        <f t="shared" si="2"/>
        <v>3124.505159629196</v>
      </c>
      <c r="U46" s="116"/>
      <c r="V46" s="115">
        <v>-1517</v>
      </c>
      <c r="W46" s="117"/>
      <c r="X46" s="115">
        <f>(T46*2%/12*5)+(T46*2%/12*5)*(2%/12*7)+(T46+V46)*2%/12*7</f>
        <v>45.09554119421454</v>
      </c>
      <c r="Y46" s="116"/>
      <c r="Z46" s="115">
        <f t="shared" si="3"/>
        <v>1652.6007008234105</v>
      </c>
    </row>
    <row r="47" spans="1:26" ht="18">
      <c r="A47" s="94" t="s">
        <v>265</v>
      </c>
      <c r="B47" s="115">
        <f>'[1]SUMMARY BUDGET MOVES '!C45+'[1]SUMMARY BUDGET MOVES '!D45+'[1]SUMMARY BUDGET MOVES '!E45</f>
        <v>6510.29</v>
      </c>
      <c r="C47" s="116"/>
      <c r="D47" s="115">
        <f>SUM('[1]SUMMARY BUDGET MOVES '!F45:N45)+SUM('[1]SUMMARY BUDGET MOVES '!P45:S45)+SUM('[1]SUMMARY BUDGET MOVES '!V45:AD45)</f>
        <v>0</v>
      </c>
      <c r="E47" s="117"/>
      <c r="F47" s="115">
        <f>'[1]SUMMARY BUDGET MOVES '!AF45+'[1]SUMMARY BUDGET MOVES '!U45</f>
        <v>25.1029</v>
      </c>
      <c r="G47" s="116"/>
      <c r="H47" s="115">
        <f t="shared" si="0"/>
        <v>6535.3929</v>
      </c>
      <c r="I47" s="116"/>
      <c r="J47" s="115">
        <v>0</v>
      </c>
      <c r="K47" s="117"/>
      <c r="L47" s="115">
        <f>(H47*2%/12*5)+(H47*2%/12*5)*(2%/12*7)+(H47+J47)*2%/12*7</f>
        <v>131.34324342083335</v>
      </c>
      <c r="M47" s="116"/>
      <c r="N47" s="115">
        <f t="shared" si="1"/>
        <v>6666.736143420833</v>
      </c>
      <c r="O47" s="116"/>
      <c r="P47" s="115">
        <v>0</v>
      </c>
      <c r="Q47" s="117"/>
      <c r="R47" s="115">
        <f>(N47*2%/12*5)+(N47*2%/12*5)*(2%/12*7)+(N47+P47)*2%/12*7</f>
        <v>133.98287777124924</v>
      </c>
      <c r="S47" s="116"/>
      <c r="T47" s="115">
        <f t="shared" si="2"/>
        <v>6800.719021192082</v>
      </c>
      <c r="U47" s="116"/>
      <c r="V47" s="115">
        <v>0</v>
      </c>
      <c r="W47" s="117"/>
      <c r="X47" s="115">
        <f>(T47*2%/12*5)+(T47*2%/12*5)*(2%/12*7)+(T47+V47)*2%/12*7</f>
        <v>136.6755614397909</v>
      </c>
      <c r="Y47" s="116"/>
      <c r="Z47" s="115">
        <f t="shared" si="3"/>
        <v>6937.394582631873</v>
      </c>
    </row>
    <row r="48" spans="1:26" ht="18">
      <c r="A48" s="94" t="s">
        <v>266</v>
      </c>
      <c r="B48" s="115">
        <f>'[1]SUMMARY BUDGET MOVES '!C46+'[1]SUMMARY BUDGET MOVES '!D46+'[1]SUMMARY BUDGET MOVES '!E46</f>
        <v>1247.537</v>
      </c>
      <c r="C48" s="116"/>
      <c r="D48" s="115">
        <f>SUM('[1]SUMMARY BUDGET MOVES '!F46:N46)+SUM('[1]SUMMARY BUDGET MOVES '!P46:S46)+SUM('[1]SUMMARY BUDGET MOVES '!V46:AD46)</f>
        <v>0</v>
      </c>
      <c r="E48" s="117"/>
      <c r="F48" s="115">
        <f>'[1]SUMMARY BUDGET MOVES '!AF46+'[1]SUMMARY BUDGET MOVES '!U46</f>
        <v>24.950739999999996</v>
      </c>
      <c r="G48" s="116"/>
      <c r="H48" s="115">
        <f t="shared" si="0"/>
        <v>1272.48774</v>
      </c>
      <c r="I48" s="116"/>
      <c r="J48" s="115">
        <v>0</v>
      </c>
      <c r="K48" s="117"/>
      <c r="L48" s="115">
        <f>(H48*2%/12*5)+(H48*2%/12*5)*(2%/12*7)+(H48+J48)*2%/12*7</f>
        <v>25.573468885833336</v>
      </c>
      <c r="M48" s="116"/>
      <c r="N48" s="115">
        <f t="shared" si="1"/>
        <v>1298.0612088858334</v>
      </c>
      <c r="O48" s="116"/>
      <c r="P48" s="115">
        <v>0</v>
      </c>
      <c r="Q48" s="117"/>
      <c r="R48" s="115">
        <f>(N48*2%/12*5)+(N48*2%/12*5)*(2%/12*7)+(N48+P48)*2%/12*7</f>
        <v>26.087424573025018</v>
      </c>
      <c r="S48" s="116"/>
      <c r="T48" s="115">
        <f t="shared" si="2"/>
        <v>1324.1486334588583</v>
      </c>
      <c r="U48" s="116"/>
      <c r="V48" s="115">
        <v>0</v>
      </c>
      <c r="W48" s="117"/>
      <c r="X48" s="115">
        <f>(T48*2%/12*5)+(T48*2%/12*5)*(2%/12*7)+(T48+V48)*2%/12*7</f>
        <v>26.611709341874555</v>
      </c>
      <c r="Y48" s="116"/>
      <c r="Z48" s="115">
        <f t="shared" si="3"/>
        <v>1350.7603428007328</v>
      </c>
    </row>
    <row r="49" spans="1:26" ht="18">
      <c r="A49" s="94" t="s">
        <v>21</v>
      </c>
      <c r="B49" s="115">
        <f>'[1]SUMMARY BUDGET MOVES '!C47+'[1]SUMMARY BUDGET MOVES '!D47+'[1]SUMMARY BUDGET MOVES '!E47</f>
        <v>5184.736000000001</v>
      </c>
      <c r="C49" s="116"/>
      <c r="D49" s="115">
        <f>SUM('[1]SUMMARY BUDGET MOVES '!F47:N47)+SUM('[1]SUMMARY BUDGET MOVES '!P47:S47)+SUM('[1]SUMMARY BUDGET MOVES '!V47:AD47)</f>
        <v>19</v>
      </c>
      <c r="E49" s="117"/>
      <c r="F49" s="115">
        <f>'[1]SUMMARY BUDGET MOVES '!AF47+'[1]SUMMARY BUDGET MOVES '!U47</f>
        <v>107.77936</v>
      </c>
      <c r="G49" s="116"/>
      <c r="H49" s="115">
        <f t="shared" si="0"/>
        <v>5311.515360000001</v>
      </c>
      <c r="I49" s="116"/>
      <c r="J49" s="115">
        <v>0</v>
      </c>
      <c r="K49" s="117"/>
      <c r="L49" s="115">
        <f>(H49*2.5%/12*5)+(H49*2.5%/12*5)*(2.5%/12*7)+(H49+J49)*2.5%/12*7</f>
        <v>133.5947548229167</v>
      </c>
      <c r="M49" s="116"/>
      <c r="N49" s="115">
        <f t="shared" si="1"/>
        <v>5445.110114822918</v>
      </c>
      <c r="O49" s="116"/>
      <c r="P49" s="115">
        <v>0</v>
      </c>
      <c r="Q49" s="117"/>
      <c r="R49" s="115">
        <f>(N49*2.5%/12*5)+(N49*2.5%/12*5)*(2.5%/12*7)+(N49+P49)*2.5%/12*7</f>
        <v>136.9549180355851</v>
      </c>
      <c r="S49" s="116"/>
      <c r="T49" s="115">
        <f t="shared" si="2"/>
        <v>5582.065032858503</v>
      </c>
      <c r="U49" s="116"/>
      <c r="V49" s="115">
        <v>0</v>
      </c>
      <c r="W49" s="117"/>
      <c r="X49" s="115">
        <f>(T49*2.5%/12*5)+(T49*2.5%/12*5)*(2.5%/12*7)+(T49+V49)*2.5%/12*7</f>
        <v>140.3995957700305</v>
      </c>
      <c r="Y49" s="116"/>
      <c r="Z49" s="115">
        <f t="shared" si="3"/>
        <v>5722.464628628534</v>
      </c>
    </row>
    <row r="50" spans="1:26" ht="18">
      <c r="A50" s="94" t="s">
        <v>267</v>
      </c>
      <c r="B50" s="115">
        <f>'[1]SUMMARY BUDGET MOVES '!C48+'[1]SUMMARY BUDGET MOVES '!D48+'[1]SUMMARY BUDGET MOVES '!E48</f>
        <v>-49789.27099999999</v>
      </c>
      <c r="C50" s="116"/>
      <c r="D50" s="115">
        <f>SUM('[1]SUMMARY BUDGET MOVES '!F48:N48)+SUM('[1]SUMMARY BUDGET MOVES '!P48:S48)+SUM('[1]SUMMARY BUDGET MOVES '!V48:AD48)</f>
        <v>763</v>
      </c>
      <c r="E50" s="117"/>
      <c r="F50" s="115">
        <f>'[1]SUMMARY BUDGET MOVES '!AF48+'[1]SUMMARY BUDGET MOVES '!U48</f>
        <v>-305.9510358333333</v>
      </c>
      <c r="G50" s="116"/>
      <c r="H50" s="115">
        <f t="shared" si="0"/>
        <v>-49332.22203583333</v>
      </c>
      <c r="I50" s="116"/>
      <c r="J50" s="115">
        <v>0</v>
      </c>
      <c r="K50" s="117"/>
      <c r="L50" s="115">
        <f>F50*102%</f>
        <v>-312.07005655</v>
      </c>
      <c r="M50" s="116"/>
      <c r="N50" s="115">
        <f t="shared" si="1"/>
        <v>-49644.29209238333</v>
      </c>
      <c r="O50" s="116"/>
      <c r="P50" s="115">
        <v>0</v>
      </c>
      <c r="Q50" s="117"/>
      <c r="R50" s="115">
        <f>L50*102%</f>
        <v>-318.31145768100004</v>
      </c>
      <c r="S50" s="116"/>
      <c r="T50" s="115">
        <f t="shared" si="2"/>
        <v>-49962.60355006433</v>
      </c>
      <c r="U50" s="116"/>
      <c r="V50" s="115">
        <v>0</v>
      </c>
      <c r="W50" s="117"/>
      <c r="X50" s="115">
        <f>R50*102%</f>
        <v>-324.67768683462003</v>
      </c>
      <c r="Y50" s="116"/>
      <c r="Z50" s="115">
        <f t="shared" si="3"/>
        <v>-50287.28123689895</v>
      </c>
    </row>
    <row r="51" spans="1:26" ht="18.75" thickBot="1">
      <c r="A51" s="94" t="s">
        <v>268</v>
      </c>
      <c r="B51" s="122">
        <f>SUM(B19:B50)</f>
        <v>28874.416480000014</v>
      </c>
      <c r="C51" s="116"/>
      <c r="D51" s="122">
        <f>SUM(D19:D50)</f>
        <v>1594.7</v>
      </c>
      <c r="E51" s="117"/>
      <c r="F51" s="122">
        <f>SUM(F19:F50)</f>
        <v>2170.9387087666673</v>
      </c>
      <c r="G51" s="116"/>
      <c r="H51" s="122">
        <f t="shared" si="0"/>
        <v>32640.05518876668</v>
      </c>
      <c r="I51" s="116"/>
      <c r="J51" s="122">
        <f>SUM(J19:J50)</f>
        <v>2146</v>
      </c>
      <c r="K51" s="117"/>
      <c r="L51" s="122">
        <f>SUM(L19:L50)</f>
        <v>2193.715454733155</v>
      </c>
      <c r="M51" s="116"/>
      <c r="N51" s="122">
        <f t="shared" si="1"/>
        <v>36979.77064349983</v>
      </c>
      <c r="O51" s="116"/>
      <c r="P51" s="122">
        <f>SUM(P19:P50)</f>
        <v>-4</v>
      </c>
      <c r="Q51" s="117"/>
      <c r="R51" s="122">
        <f>SUM(R19:R50)</f>
        <v>2477.4099878294264</v>
      </c>
      <c r="S51" s="116"/>
      <c r="T51" s="122">
        <f t="shared" si="2"/>
        <v>39453.18063132926</v>
      </c>
      <c r="U51" s="116"/>
      <c r="V51" s="122">
        <f>SUM(V19:V50)</f>
        <v>-1017</v>
      </c>
      <c r="W51" s="117"/>
      <c r="X51" s="122">
        <f>SUM(X19:X50)</f>
        <v>2578.3567560864135</v>
      </c>
      <c r="Y51" s="116"/>
      <c r="Z51" s="122">
        <f t="shared" si="3"/>
        <v>41014.53738741567</v>
      </c>
    </row>
    <row r="52" spans="1:26" ht="18.75" thickBot="1">
      <c r="A52" s="123" t="s">
        <v>269</v>
      </c>
      <c r="B52" s="124">
        <f>B18+B51</f>
        <v>412933.1578135106</v>
      </c>
      <c r="C52" s="116"/>
      <c r="D52" s="124">
        <f>D18+D51</f>
        <v>1503.95</v>
      </c>
      <c r="E52" s="117"/>
      <c r="F52" s="124">
        <f>F18+F51</f>
        <v>4672.084557973332</v>
      </c>
      <c r="G52" s="116"/>
      <c r="H52" s="124">
        <f>H18+H51</f>
        <v>419109.19237148395</v>
      </c>
      <c r="I52" s="116"/>
      <c r="J52" s="124">
        <f>J18+J51</f>
        <v>4394</v>
      </c>
      <c r="K52" s="117"/>
      <c r="L52" s="124">
        <f>L18+L51</f>
        <v>6083.689480235153</v>
      </c>
      <c r="M52" s="116"/>
      <c r="N52" s="124">
        <f>SUM(H52:L52)</f>
        <v>429586.8818517191</v>
      </c>
      <c r="O52" s="116"/>
      <c r="P52" s="124">
        <f>P18+P51</f>
        <v>4296</v>
      </c>
      <c r="Q52" s="117"/>
      <c r="R52" s="124">
        <f>R18+R51</f>
        <v>8733.032408091876</v>
      </c>
      <c r="S52" s="116"/>
      <c r="T52" s="124">
        <f>SUM(N52:R52)</f>
        <v>442615.914259811</v>
      </c>
      <c r="U52" s="116"/>
      <c r="V52" s="124">
        <f>V18+V51</f>
        <v>283</v>
      </c>
      <c r="W52" s="117"/>
      <c r="X52" s="124">
        <f>X18+X51</f>
        <v>10628.645149538408</v>
      </c>
      <c r="Y52" s="116"/>
      <c r="Z52" s="124">
        <f>SUM(T52:X52)</f>
        <v>453527.5594093494</v>
      </c>
    </row>
    <row r="53" spans="1:26" ht="19.5" hidden="1" thickBot="1" thickTop="1">
      <c r="A53" s="123"/>
      <c r="B53" s="122">
        <f>SUM(B13:B17)+SUM(B19:B50)</f>
        <v>412933.1578135106</v>
      </c>
      <c r="C53" s="125"/>
      <c r="D53" s="122">
        <f>SUM(D13:D17)+SUM(D19:D50)</f>
        <v>1503.95</v>
      </c>
      <c r="E53" s="125"/>
      <c r="F53" s="122">
        <f>SUM(F13:F17)+SUM(F19:F50)</f>
        <v>4672.084557973332</v>
      </c>
      <c r="G53" s="116"/>
      <c r="H53" s="122">
        <f>SUM(H13:H17)+SUM(H19:H50)</f>
        <v>419109.1923714839</v>
      </c>
      <c r="I53" s="125"/>
      <c r="J53" s="122">
        <f>SUM(J13:J17)+SUM(J19:J50)</f>
        <v>4394</v>
      </c>
      <c r="K53" s="125"/>
      <c r="L53" s="122">
        <f>SUM(L13:L17)+SUM(L19:L50)</f>
        <v>6083.689480235153</v>
      </c>
      <c r="M53" s="116"/>
      <c r="N53" s="122">
        <f>SUM(N13:N17)+SUM(N19:N50)</f>
        <v>429586.88185171905</v>
      </c>
      <c r="O53" s="125"/>
      <c r="P53" s="122">
        <f>SUM(P13:P17)+SUM(P19:P50)</f>
        <v>4296</v>
      </c>
      <c r="Q53" s="125"/>
      <c r="R53" s="122">
        <f>SUM(R13:R17)+SUM(R19:R50)</f>
        <v>8733.032408091876</v>
      </c>
      <c r="S53" s="116"/>
      <c r="T53" s="122">
        <f>SUM(T13:T17)+SUM(T19:T50)</f>
        <v>442615.91425981093</v>
      </c>
      <c r="U53" s="116"/>
      <c r="V53" s="122">
        <f>SUM(V13:V17)+SUM(V19:V50)</f>
        <v>283</v>
      </c>
      <c r="W53" s="125"/>
      <c r="X53" s="122">
        <f>SUM(X13:X17)+SUM(X19:X50)</f>
        <v>10628.645149538408</v>
      </c>
      <c r="Y53" s="116"/>
      <c r="Z53" s="122">
        <f>SUM(Z13:Z17)+SUM(Z19:Z50)</f>
        <v>453527.5594093494</v>
      </c>
    </row>
    <row r="54" spans="1:26" ht="18.75" thickTop="1">
      <c r="A54" s="123"/>
      <c r="B54" s="116"/>
      <c r="C54" s="125"/>
      <c r="D54" s="116"/>
      <c r="E54" s="125"/>
      <c r="F54" s="116"/>
      <c r="G54" s="116"/>
      <c r="H54" s="116"/>
      <c r="I54" s="125"/>
      <c r="J54" s="116"/>
      <c r="K54" s="125"/>
      <c r="L54" s="116"/>
      <c r="M54" s="116"/>
      <c r="N54" s="116"/>
      <c r="O54" s="125"/>
      <c r="P54" s="116"/>
      <c r="Q54" s="125"/>
      <c r="R54" s="116"/>
      <c r="S54" s="116"/>
      <c r="T54" s="116"/>
      <c r="U54" s="116"/>
      <c r="V54" s="116"/>
      <c r="W54" s="125"/>
      <c r="X54" s="116"/>
      <c r="Y54" s="116"/>
      <c r="Z54" s="116"/>
    </row>
    <row r="55" spans="1:26" ht="18">
      <c r="A55" s="123"/>
      <c r="B55" s="116"/>
      <c r="C55" s="125"/>
      <c r="D55" s="116"/>
      <c r="E55" s="125"/>
      <c r="F55" s="116"/>
      <c r="G55" s="116"/>
      <c r="H55" s="116"/>
      <c r="I55" s="125"/>
      <c r="J55" s="116"/>
      <c r="K55" s="125"/>
      <c r="L55" s="116"/>
      <c r="M55" s="116"/>
      <c r="N55" s="116"/>
      <c r="O55" s="125"/>
      <c r="P55" s="116"/>
      <c r="Q55" s="125"/>
      <c r="R55" s="116"/>
      <c r="S55" s="116"/>
      <c r="T55" s="116"/>
      <c r="U55" s="116"/>
      <c r="V55" s="116"/>
      <c r="W55" s="125"/>
      <c r="X55" s="116"/>
      <c r="Y55" s="116"/>
      <c r="Z55" s="116"/>
    </row>
    <row r="56" spans="1:26" ht="18">
      <c r="A56" s="123"/>
      <c r="B56" s="116"/>
      <c r="C56" s="125"/>
      <c r="D56" s="116"/>
      <c r="E56" s="125"/>
      <c r="F56" s="116"/>
      <c r="G56" s="116"/>
      <c r="H56" s="116"/>
      <c r="I56" s="125"/>
      <c r="J56" s="116"/>
      <c r="K56" s="125"/>
      <c r="L56" s="116"/>
      <c r="M56" s="116"/>
      <c r="N56" s="116"/>
      <c r="O56" s="125"/>
      <c r="P56" s="116"/>
      <c r="Q56" s="125"/>
      <c r="R56" s="116"/>
      <c r="S56" s="116"/>
      <c r="T56" s="116"/>
      <c r="U56" s="116"/>
      <c r="V56" s="116"/>
      <c r="W56" s="125"/>
      <c r="X56" s="116"/>
      <c r="Y56" s="116"/>
      <c r="Z56" s="116"/>
    </row>
    <row r="57" spans="1:26" ht="18">
      <c r="A57" s="123"/>
      <c r="B57" s="116"/>
      <c r="C57" s="125"/>
      <c r="D57" s="116"/>
      <c r="E57" s="125"/>
      <c r="F57" s="116"/>
      <c r="G57" s="116"/>
      <c r="H57" s="116"/>
      <c r="I57" s="125"/>
      <c r="J57" s="116"/>
      <c r="K57" s="125"/>
      <c r="L57" s="116"/>
      <c r="M57" s="116"/>
      <c r="N57" s="116"/>
      <c r="O57" s="125"/>
      <c r="P57" s="116"/>
      <c r="Q57" s="125"/>
      <c r="R57" s="116"/>
      <c r="S57" s="116"/>
      <c r="T57" s="116"/>
      <c r="U57" s="116"/>
      <c r="V57" s="116"/>
      <c r="W57" s="125"/>
      <c r="X57" s="116"/>
      <c r="Y57" s="116"/>
      <c r="Z57" s="116"/>
    </row>
    <row r="58" spans="1:26" ht="18">
      <c r="A58" s="123"/>
      <c r="B58" s="116"/>
      <c r="C58" s="125"/>
      <c r="D58" s="116"/>
      <c r="E58" s="125"/>
      <c r="F58" s="116"/>
      <c r="G58" s="116"/>
      <c r="H58" s="116"/>
      <c r="I58" s="125"/>
      <c r="J58" s="116"/>
      <c r="K58" s="125"/>
      <c r="L58" s="116"/>
      <c r="M58" s="116"/>
      <c r="N58" s="116"/>
      <c r="O58" s="125"/>
      <c r="P58" s="116"/>
      <c r="Q58" s="125"/>
      <c r="R58" s="116"/>
      <c r="S58" s="116"/>
      <c r="T58" s="116"/>
      <c r="U58" s="116"/>
      <c r="V58" s="116"/>
      <c r="W58" s="125"/>
      <c r="X58" s="116"/>
      <c r="Y58" s="116"/>
      <c r="Z58" s="116"/>
    </row>
    <row r="59" spans="1:26" ht="12.75" customHeight="1">
      <c r="A59" s="123"/>
      <c r="B59" s="116" t="s">
        <v>17</v>
      </c>
      <c r="C59" s="125"/>
      <c r="D59" s="116"/>
      <c r="E59" s="125"/>
      <c r="F59" s="116"/>
      <c r="G59" s="116"/>
      <c r="H59" s="116"/>
      <c r="I59" s="125"/>
      <c r="J59" s="116"/>
      <c r="K59" s="125"/>
      <c r="L59" s="116"/>
      <c r="M59" s="116"/>
      <c r="N59" s="116"/>
      <c r="O59" s="125"/>
      <c r="P59" s="116"/>
      <c r="Q59" s="125"/>
      <c r="R59" s="116"/>
      <c r="S59" s="116"/>
      <c r="T59" s="116"/>
      <c r="U59" s="116"/>
      <c r="V59" s="116"/>
      <c r="W59" s="125"/>
      <c r="X59" s="116"/>
      <c r="Y59" s="116"/>
      <c r="Z59" s="116"/>
    </row>
    <row r="60" spans="1:26" ht="3.75" customHeight="1" thickBot="1">
      <c r="A60" s="123"/>
      <c r="B60" s="116"/>
      <c r="C60" s="125"/>
      <c r="D60" s="116"/>
      <c r="E60" s="125"/>
      <c r="F60" s="116"/>
      <c r="G60" s="116"/>
      <c r="H60" s="116"/>
      <c r="I60" s="125"/>
      <c r="J60" s="116"/>
      <c r="K60" s="125"/>
      <c r="L60" s="116"/>
      <c r="M60" s="116"/>
      <c r="N60" s="116"/>
      <c r="O60" s="125"/>
      <c r="P60" s="116"/>
      <c r="Q60" s="125"/>
      <c r="R60" s="116"/>
      <c r="S60" s="116"/>
      <c r="T60" s="116"/>
      <c r="U60" s="116"/>
      <c r="V60" s="116"/>
      <c r="W60" s="125"/>
      <c r="X60" s="116"/>
      <c r="Y60" s="116"/>
      <c r="Z60" s="116"/>
    </row>
    <row r="61" spans="1:26" ht="18.75" thickBot="1">
      <c r="A61" s="111" t="s">
        <v>270</v>
      </c>
      <c r="B61" s="126"/>
      <c r="C61" s="125"/>
      <c r="D61" s="127"/>
      <c r="E61" s="125"/>
      <c r="F61" s="127"/>
      <c r="G61" s="116"/>
      <c r="H61" s="126"/>
      <c r="I61" s="125"/>
      <c r="J61" s="127"/>
      <c r="K61" s="125"/>
      <c r="L61" s="127"/>
      <c r="M61" s="116"/>
      <c r="N61" s="126"/>
      <c r="O61" s="125"/>
      <c r="P61" s="127"/>
      <c r="Q61" s="125"/>
      <c r="R61" s="127"/>
      <c r="S61" s="116"/>
      <c r="T61" s="126"/>
      <c r="U61" s="116"/>
      <c r="V61" s="127"/>
      <c r="W61" s="125"/>
      <c r="X61" s="127"/>
      <c r="Y61" s="116"/>
      <c r="Z61" s="126"/>
    </row>
    <row r="62" spans="1:26" ht="8.25" customHeight="1">
      <c r="A62" s="114"/>
      <c r="B62" s="128"/>
      <c r="C62" s="125"/>
      <c r="D62" s="129"/>
      <c r="E62" s="125"/>
      <c r="F62" s="129"/>
      <c r="G62" s="116"/>
      <c r="H62" s="128"/>
      <c r="I62" s="125"/>
      <c r="J62" s="129"/>
      <c r="K62" s="125"/>
      <c r="L62" s="129"/>
      <c r="M62" s="116"/>
      <c r="N62" s="128"/>
      <c r="O62" s="125"/>
      <c r="P62" s="129"/>
      <c r="Q62" s="125"/>
      <c r="R62" s="129"/>
      <c r="S62" s="116"/>
      <c r="T62" s="128"/>
      <c r="U62" s="116"/>
      <c r="V62" s="129"/>
      <c r="W62" s="125"/>
      <c r="X62" s="129"/>
      <c r="Y62" s="116"/>
      <c r="Z62" s="128"/>
    </row>
    <row r="63" spans="1:26" ht="18">
      <c r="A63" s="94" t="s">
        <v>271</v>
      </c>
      <c r="B63" s="115">
        <f>'[1]SUMMARY BUDGET MOVES '!C59+'[1]SUMMARY BUDGET MOVES '!E59</f>
        <v>4556</v>
      </c>
      <c r="C63" s="116"/>
      <c r="D63" s="115">
        <f>SUM('[1]SUMMARY BUDGET MOVES '!F59:N59)+SUM('[1]SUMMARY BUDGET MOVES '!P59:S59)+SUM('[1]SUMMARY BUDGET MOVES '!V59:AD59)</f>
        <v>675</v>
      </c>
      <c r="E63" s="117"/>
      <c r="F63" s="115">
        <f>'[1]SUMMARY BUDGET MOVES '!AF59+'[1]SUMMARY BUDGET MOVES '!U59</f>
        <v>143.78583333333333</v>
      </c>
      <c r="G63" s="116"/>
      <c r="H63" s="115">
        <f>SUM(B63:F63)</f>
        <v>5374.785833333333</v>
      </c>
      <c r="I63" s="116"/>
      <c r="J63" s="115">
        <v>0</v>
      </c>
      <c r="K63" s="117"/>
      <c r="L63" s="115">
        <f>(H63+J63)*3%</f>
        <v>161.243575</v>
      </c>
      <c r="M63" s="116"/>
      <c r="N63" s="115">
        <f>SUM(H63:L63)</f>
        <v>5536.029408333334</v>
      </c>
      <c r="O63" s="116"/>
      <c r="P63" s="115">
        <v>0</v>
      </c>
      <c r="Q63" s="117"/>
      <c r="R63" s="115">
        <f>(N63+P63)*3%</f>
        <v>166.08088225</v>
      </c>
      <c r="S63" s="116"/>
      <c r="T63" s="115">
        <f>SUM(N63:R63)</f>
        <v>5702.110290583334</v>
      </c>
      <c r="U63" s="116"/>
      <c r="V63" s="115">
        <v>0</v>
      </c>
      <c r="W63" s="117"/>
      <c r="X63" s="115">
        <f>(T63+V63)*3%</f>
        <v>171.0633087175</v>
      </c>
      <c r="Y63" s="116"/>
      <c r="Z63" s="115">
        <f>SUM(T63:X63)</f>
        <v>5873.173599300834</v>
      </c>
    </row>
    <row r="64" spans="1:26" ht="10.5" customHeight="1">
      <c r="A64" s="94" t="s">
        <v>17</v>
      </c>
      <c r="B64" s="115"/>
      <c r="C64" s="116"/>
      <c r="D64" s="115"/>
      <c r="E64" s="117"/>
      <c r="F64" s="115" t="s">
        <v>17</v>
      </c>
      <c r="G64" s="116"/>
      <c r="H64" s="115"/>
      <c r="I64" s="116"/>
      <c r="J64" s="115" t="s">
        <v>17</v>
      </c>
      <c r="K64" s="117"/>
      <c r="L64" s="115" t="s">
        <v>17</v>
      </c>
      <c r="M64" s="116"/>
      <c r="N64" s="115"/>
      <c r="O64" s="116"/>
      <c r="P64" s="115" t="s">
        <v>17</v>
      </c>
      <c r="Q64" s="117"/>
      <c r="R64" s="115" t="s">
        <v>17</v>
      </c>
      <c r="S64" s="116"/>
      <c r="T64" s="115"/>
      <c r="U64" s="116"/>
      <c r="V64" s="115" t="s">
        <v>17</v>
      </c>
      <c r="W64" s="117"/>
      <c r="X64" s="115" t="s">
        <v>17</v>
      </c>
      <c r="Y64" s="116"/>
      <c r="Z64" s="115"/>
    </row>
    <row r="65" spans="1:26" ht="18">
      <c r="A65" s="94" t="s">
        <v>272</v>
      </c>
      <c r="B65" s="115"/>
      <c r="C65" s="116"/>
      <c r="D65" s="115"/>
      <c r="E65" s="117"/>
      <c r="F65" s="115" t="s">
        <v>17</v>
      </c>
      <c r="G65" s="116"/>
      <c r="H65" s="115"/>
      <c r="I65" s="116"/>
      <c r="J65" s="115" t="s">
        <v>17</v>
      </c>
      <c r="K65" s="117"/>
      <c r="L65" s="115" t="s">
        <v>17</v>
      </c>
      <c r="M65" s="116"/>
      <c r="N65" s="115"/>
      <c r="O65" s="116"/>
      <c r="P65" s="115" t="s">
        <v>17</v>
      </c>
      <c r="Q65" s="117"/>
      <c r="R65" s="115" t="s">
        <v>17</v>
      </c>
      <c r="S65" s="116"/>
      <c r="T65" s="115"/>
      <c r="U65" s="116"/>
      <c r="V65" s="115" t="s">
        <v>17</v>
      </c>
      <c r="W65" s="117"/>
      <c r="X65" s="115" t="s">
        <v>17</v>
      </c>
      <c r="Y65" s="116"/>
      <c r="Z65" s="115"/>
    </row>
    <row r="66" spans="1:26" ht="18">
      <c r="A66" s="94" t="s">
        <v>20</v>
      </c>
      <c r="B66" s="115">
        <f>'[1]SUMMARY BUDGET MOVES '!C62+'[1]SUMMARY BUDGET MOVES '!E62</f>
        <v>10678</v>
      </c>
      <c r="C66" s="116"/>
      <c r="D66" s="115">
        <f>SUM('[1]SUMMARY BUDGET MOVES '!F62:N62)+SUM('[1]SUMMARY BUDGET MOVES '!P62:S62)+SUM('[1]SUMMARY BUDGET MOVES '!V62:AD62)</f>
        <v>-1068</v>
      </c>
      <c r="E66" s="117"/>
      <c r="F66" s="115">
        <f>'[1]SUMMARY BUDGET MOVES '!AF62+'[1]SUMMARY BUDGET MOVES '!U62</f>
        <v>0</v>
      </c>
      <c r="G66" s="116"/>
      <c r="H66" s="115">
        <f aca="true" t="shared" si="8" ref="H66:H78">SUM(B66:F66)</f>
        <v>9610</v>
      </c>
      <c r="I66" s="116"/>
      <c r="J66" s="115">
        <v>321</v>
      </c>
      <c r="K66" s="117"/>
      <c r="L66" s="115">
        <v>0</v>
      </c>
      <c r="M66" s="116"/>
      <c r="N66" s="115">
        <f aca="true" t="shared" si="9" ref="N66:N79">SUM(H66:L66)</f>
        <v>9931</v>
      </c>
      <c r="O66" s="116"/>
      <c r="P66" s="115">
        <v>-373</v>
      </c>
      <c r="Q66" s="117"/>
      <c r="R66" s="115">
        <v>0</v>
      </c>
      <c r="S66" s="116"/>
      <c r="T66" s="115">
        <f aca="true" t="shared" si="10" ref="T66:T79">SUM(N66:R66)</f>
        <v>9558</v>
      </c>
      <c r="U66" s="116"/>
      <c r="V66" s="115">
        <v>500</v>
      </c>
      <c r="W66" s="117"/>
      <c r="X66" s="115">
        <v>0</v>
      </c>
      <c r="Y66" s="116"/>
      <c r="Z66" s="115">
        <f aca="true" t="shared" si="11" ref="Z66:Z79">SUM(T66:X66)</f>
        <v>10058</v>
      </c>
    </row>
    <row r="67" spans="1:26" ht="18.75" customHeight="1">
      <c r="A67" s="121" t="s">
        <v>273</v>
      </c>
      <c r="B67" s="115">
        <f>'[1]SUMMARY BUDGET MOVES '!C63+'[1]SUMMARY BUDGET MOVES '!E63</f>
        <v>500</v>
      </c>
      <c r="C67" s="116"/>
      <c r="D67" s="115">
        <f>SUM('[1]SUMMARY BUDGET MOVES '!F63:N63)+SUM('[1]SUMMARY BUDGET MOVES '!P63:S63)+SUM('[1]SUMMARY BUDGET MOVES '!V63:AD63)</f>
        <v>0</v>
      </c>
      <c r="E67" s="117"/>
      <c r="F67" s="115">
        <f>'[1]SUMMARY BUDGET MOVES '!AF63+'[1]SUMMARY BUDGET MOVES '!U63</f>
        <v>0</v>
      </c>
      <c r="G67" s="116"/>
      <c r="H67" s="115">
        <f t="shared" si="8"/>
        <v>500</v>
      </c>
      <c r="I67" s="116"/>
      <c r="J67" s="115">
        <v>0</v>
      </c>
      <c r="K67" s="117"/>
      <c r="L67" s="115">
        <v>0</v>
      </c>
      <c r="M67" s="116"/>
      <c r="N67" s="115">
        <f t="shared" si="9"/>
        <v>500</v>
      </c>
      <c r="O67" s="116"/>
      <c r="P67" s="115">
        <v>0</v>
      </c>
      <c r="Q67" s="117"/>
      <c r="R67" s="115">
        <v>0</v>
      </c>
      <c r="S67" s="116"/>
      <c r="T67" s="115">
        <f t="shared" si="10"/>
        <v>500</v>
      </c>
      <c r="U67" s="116"/>
      <c r="V67" s="115">
        <v>0</v>
      </c>
      <c r="W67" s="117"/>
      <c r="X67" s="115">
        <v>0</v>
      </c>
      <c r="Y67" s="116"/>
      <c r="Z67" s="115">
        <f t="shared" si="11"/>
        <v>500</v>
      </c>
    </row>
    <row r="68" spans="1:26" ht="18" customHeight="1">
      <c r="A68" s="94" t="s">
        <v>274</v>
      </c>
      <c r="B68" s="115">
        <f>'[1]SUMMARY BUDGET MOVES '!C65+'[1]SUMMARY BUDGET MOVES '!E65</f>
        <v>204</v>
      </c>
      <c r="C68" s="116"/>
      <c r="D68" s="115">
        <f>SUM('[1]SUMMARY BUDGET MOVES '!F65:N65)+SUM('[1]SUMMARY BUDGET MOVES '!P65:S65)+SUM('[1]SUMMARY BUDGET MOVES '!V65:AD65)</f>
        <v>0</v>
      </c>
      <c r="E68" s="117"/>
      <c r="F68" s="115">
        <f>'[1]SUMMARY BUDGET MOVES '!AF65+'[1]SUMMARY BUDGET MOVES '!U65</f>
        <v>4.08</v>
      </c>
      <c r="G68" s="116"/>
      <c r="H68" s="115">
        <f t="shared" si="8"/>
        <v>208.08</v>
      </c>
      <c r="I68" s="116"/>
      <c r="J68" s="115">
        <v>0</v>
      </c>
      <c r="K68" s="117"/>
      <c r="L68" s="115">
        <f>(H68+J68)*2.5%</f>
        <v>5.202000000000001</v>
      </c>
      <c r="M68" s="116"/>
      <c r="N68" s="115">
        <f t="shared" si="9"/>
        <v>213.282</v>
      </c>
      <c r="O68" s="116"/>
      <c r="P68" s="115">
        <v>0</v>
      </c>
      <c r="Q68" s="117"/>
      <c r="R68" s="115">
        <f>(N68+P68)*2.5%</f>
        <v>5.332050000000001</v>
      </c>
      <c r="S68" s="116"/>
      <c r="T68" s="115">
        <f t="shared" si="10"/>
        <v>218.61405000000002</v>
      </c>
      <c r="U68" s="116"/>
      <c r="V68" s="115">
        <v>0</v>
      </c>
      <c r="W68" s="117"/>
      <c r="X68" s="115">
        <f>(T68+V68)*2.5%</f>
        <v>5.465351250000001</v>
      </c>
      <c r="Y68" s="116"/>
      <c r="Z68" s="115">
        <f t="shared" si="11"/>
        <v>224.07940125000002</v>
      </c>
    </row>
    <row r="69" spans="1:26" ht="18" customHeight="1">
      <c r="A69" s="94" t="s">
        <v>275</v>
      </c>
      <c r="B69" s="115">
        <f>'[1]SUMMARY BUDGET MOVES '!C66+'[1]SUMMARY BUDGET MOVES '!E66</f>
        <v>1849</v>
      </c>
      <c r="C69" s="116"/>
      <c r="D69" s="115">
        <f>SUM('[1]SUMMARY BUDGET MOVES '!F66:N66)+SUM('[1]SUMMARY BUDGET MOVES '!P66:S66)+SUM('[1]SUMMARY BUDGET MOVES '!V66:AD66)</f>
        <v>500</v>
      </c>
      <c r="E69" s="117"/>
      <c r="F69" s="115">
        <f>'[1]SUMMARY BUDGET MOVES '!AF66+'[1]SUMMARY BUDGET MOVES '!U66</f>
        <v>115.22</v>
      </c>
      <c r="G69" s="116"/>
      <c r="H69" s="115">
        <f t="shared" si="8"/>
        <v>2464.22</v>
      </c>
      <c r="I69" s="116"/>
      <c r="J69" s="115">
        <v>0</v>
      </c>
      <c r="K69" s="117"/>
      <c r="L69" s="115">
        <f>(H69+J69)*5%</f>
        <v>123.211</v>
      </c>
      <c r="M69" s="116"/>
      <c r="N69" s="115">
        <f t="shared" si="9"/>
        <v>2587.4309999999996</v>
      </c>
      <c r="O69" s="116"/>
      <c r="P69" s="115">
        <v>0</v>
      </c>
      <c r="Q69" s="117"/>
      <c r="R69" s="115">
        <f>(N69+P69)*5%</f>
        <v>129.37154999999998</v>
      </c>
      <c r="S69" s="116"/>
      <c r="T69" s="115">
        <f t="shared" si="10"/>
        <v>2716.8025499999994</v>
      </c>
      <c r="U69" s="116"/>
      <c r="V69" s="115">
        <v>0</v>
      </c>
      <c r="W69" s="117"/>
      <c r="X69" s="115">
        <f>(T69+V69)*5%</f>
        <v>135.84012749999997</v>
      </c>
      <c r="Y69" s="116"/>
      <c r="Z69" s="115">
        <f t="shared" si="11"/>
        <v>2852.6426774999995</v>
      </c>
    </row>
    <row r="70" spans="1:26" ht="18" customHeight="1">
      <c r="A70" s="94" t="s">
        <v>276</v>
      </c>
      <c r="B70" s="115">
        <f>'[1]SUMMARY BUDGET MOVES '!C67+'[1]SUMMARY BUDGET MOVES '!E67</f>
        <v>160</v>
      </c>
      <c r="C70" s="116"/>
      <c r="D70" s="115">
        <f>SUM('[1]SUMMARY BUDGET MOVES '!F67:N67)+SUM('[1]SUMMARY BUDGET MOVES '!P67:S67)+SUM('[1]SUMMARY BUDGET MOVES '!V67:AD67)</f>
        <v>0</v>
      </c>
      <c r="E70" s="117"/>
      <c r="F70" s="115">
        <f>'[1]SUMMARY BUDGET MOVES '!AF67+'[1]SUMMARY BUDGET MOVES '!U67</f>
        <v>3.2</v>
      </c>
      <c r="G70" s="116"/>
      <c r="H70" s="115">
        <f t="shared" si="8"/>
        <v>163.2</v>
      </c>
      <c r="I70" s="116"/>
      <c r="J70" s="115">
        <v>0</v>
      </c>
      <c r="K70" s="117"/>
      <c r="L70" s="115">
        <f>(H70+J70)*2%</f>
        <v>3.264</v>
      </c>
      <c r="M70" s="116"/>
      <c r="N70" s="115">
        <f t="shared" si="9"/>
        <v>166.464</v>
      </c>
      <c r="O70" s="116"/>
      <c r="P70" s="115">
        <v>0</v>
      </c>
      <c r="Q70" s="117"/>
      <c r="R70" s="115">
        <f>(N70+P70)*2%</f>
        <v>3.3292800000000002</v>
      </c>
      <c r="S70" s="116"/>
      <c r="T70" s="115">
        <f t="shared" si="10"/>
        <v>169.79328</v>
      </c>
      <c r="U70" s="116"/>
      <c r="V70" s="115">
        <v>0</v>
      </c>
      <c r="W70" s="117"/>
      <c r="X70" s="115">
        <f>(T70+V70)*2%</f>
        <v>3.3958656000000005</v>
      </c>
      <c r="Y70" s="116"/>
      <c r="Z70" s="115">
        <f t="shared" si="11"/>
        <v>173.18914560000002</v>
      </c>
    </row>
    <row r="71" spans="1:26" ht="18" customHeight="1">
      <c r="A71" s="94" t="s">
        <v>277</v>
      </c>
      <c r="B71" s="115">
        <f>'[1]SUMMARY BUDGET MOVES '!C68+'[1]SUMMARY BUDGET MOVES '!E68</f>
        <v>789</v>
      </c>
      <c r="C71" s="116"/>
      <c r="D71" s="115">
        <f>SUM('[1]SUMMARY BUDGET MOVES '!F68:N68)+SUM('[1]SUMMARY BUDGET MOVES '!P68:S68)+SUM('[1]SUMMARY BUDGET MOVES '!V68:AD68)</f>
        <v>0</v>
      </c>
      <c r="E71" s="117"/>
      <c r="F71" s="115">
        <f>'[1]SUMMARY BUDGET MOVES '!AF68+'[1]SUMMARY BUDGET MOVES '!U68</f>
        <v>15.780000000000001</v>
      </c>
      <c r="G71" s="116"/>
      <c r="H71" s="115">
        <f t="shared" si="8"/>
        <v>804.78</v>
      </c>
      <c r="I71" s="116"/>
      <c r="J71" s="115">
        <v>0</v>
      </c>
      <c r="K71" s="117"/>
      <c r="L71" s="115">
        <f>(H71+J71)*2%</f>
        <v>16.0956</v>
      </c>
      <c r="M71" s="116"/>
      <c r="N71" s="115">
        <f t="shared" si="9"/>
        <v>820.8756</v>
      </c>
      <c r="O71" s="116"/>
      <c r="P71" s="115">
        <v>0</v>
      </c>
      <c r="Q71" s="117"/>
      <c r="R71" s="115">
        <f>(N71+P71)*2%</f>
        <v>16.417512</v>
      </c>
      <c r="S71" s="116"/>
      <c r="T71" s="115">
        <f t="shared" si="10"/>
        <v>837.293112</v>
      </c>
      <c r="U71" s="116"/>
      <c r="V71" s="115">
        <v>0</v>
      </c>
      <c r="W71" s="117"/>
      <c r="X71" s="115">
        <f>(T71+V71)*2%</f>
        <v>16.74586224</v>
      </c>
      <c r="Y71" s="116"/>
      <c r="Z71" s="115">
        <f t="shared" si="11"/>
        <v>854.0389742399999</v>
      </c>
    </row>
    <row r="72" spans="1:26" ht="18" customHeight="1">
      <c r="A72" s="94" t="s">
        <v>278</v>
      </c>
      <c r="B72" s="115">
        <f>'[1]SUMMARY BUDGET MOVES '!C70+'[1]SUMMARY BUDGET MOVES '!E70</f>
        <v>70</v>
      </c>
      <c r="C72" s="116"/>
      <c r="D72" s="115">
        <f>SUM('[1]SUMMARY BUDGET MOVES '!F70:N70)+SUM('[1]SUMMARY BUDGET MOVES '!P70:S70)+SUM('[1]SUMMARY BUDGET MOVES '!V70:AD70)</f>
        <v>0</v>
      </c>
      <c r="E72" s="117"/>
      <c r="F72" s="115">
        <f>'[1]SUMMARY BUDGET MOVES '!AF70+'[1]SUMMARY BUDGET MOVES '!U70</f>
        <v>1.4000000000000001</v>
      </c>
      <c r="G72" s="116"/>
      <c r="H72" s="115">
        <f t="shared" si="8"/>
        <v>71.4</v>
      </c>
      <c r="I72" s="116"/>
      <c r="J72" s="115">
        <v>0</v>
      </c>
      <c r="K72" s="117"/>
      <c r="L72" s="115">
        <f>(H72+J72)*2%</f>
        <v>1.4280000000000002</v>
      </c>
      <c r="M72" s="116"/>
      <c r="N72" s="115">
        <f t="shared" si="9"/>
        <v>72.828</v>
      </c>
      <c r="O72" s="116"/>
      <c r="P72" s="115">
        <v>0</v>
      </c>
      <c r="Q72" s="117"/>
      <c r="R72" s="115">
        <f>(N72+P72)*2%</f>
        <v>1.45656</v>
      </c>
      <c r="S72" s="116"/>
      <c r="T72" s="115">
        <f t="shared" si="10"/>
        <v>74.28456</v>
      </c>
      <c r="U72" s="116"/>
      <c r="V72" s="115">
        <v>0</v>
      </c>
      <c r="W72" s="117"/>
      <c r="X72" s="115">
        <f>(T72+V72)*2%</f>
        <v>1.4856912</v>
      </c>
      <c r="Y72" s="116"/>
      <c r="Z72" s="115">
        <f t="shared" si="11"/>
        <v>75.7702512</v>
      </c>
    </row>
    <row r="73" spans="1:26" ht="18" customHeight="1">
      <c r="A73" s="94" t="s">
        <v>279</v>
      </c>
      <c r="B73" s="115">
        <f>'[1]SUMMARY BUDGET MOVES '!C71+'[1]SUMMARY BUDGET MOVES '!E71+'[1]SUMMARY BUDGET MOVES '!D71</f>
        <v>3000</v>
      </c>
      <c r="C73" s="116"/>
      <c r="D73" s="115">
        <f>SUM('[1]SUMMARY BUDGET MOVES '!F71:N71)+SUM('[1]SUMMARY BUDGET MOVES '!P71:S71)+SUM('[1]SUMMARY BUDGET MOVES '!V71:AD71)</f>
        <v>-1850</v>
      </c>
      <c r="E73" s="117"/>
      <c r="F73" s="115">
        <f>'[1]SUMMARY BUDGET MOVES '!AF71+'[1]SUMMARY BUDGET MOVES '!U71</f>
        <v>0</v>
      </c>
      <c r="G73" s="116"/>
      <c r="H73" s="115">
        <f t="shared" si="8"/>
        <v>1150</v>
      </c>
      <c r="I73" s="116"/>
      <c r="J73" s="115">
        <v>-50</v>
      </c>
      <c r="K73" s="117"/>
      <c r="L73" s="115"/>
      <c r="M73" s="116"/>
      <c r="N73" s="115">
        <f t="shared" si="9"/>
        <v>1100</v>
      </c>
      <c r="O73" s="116"/>
      <c r="P73" s="115">
        <v>70</v>
      </c>
      <c r="Q73" s="117"/>
      <c r="R73" s="115"/>
      <c r="S73" s="116"/>
      <c r="T73" s="115">
        <f t="shared" si="10"/>
        <v>1170</v>
      </c>
      <c r="U73" s="116"/>
      <c r="V73" s="115">
        <v>50</v>
      </c>
      <c r="W73" s="117"/>
      <c r="X73" s="115"/>
      <c r="Y73" s="116"/>
      <c r="Z73" s="115">
        <f t="shared" si="11"/>
        <v>1220</v>
      </c>
    </row>
    <row r="74" spans="1:26" ht="18">
      <c r="A74" s="94" t="s">
        <v>280</v>
      </c>
      <c r="B74" s="115">
        <f>'[1]SUMMARY BUDGET MOVES '!C72+'[1]SUMMARY BUDGET MOVES '!E72+'[1]SUMMARY BUDGET MOVES '!D72</f>
        <v>9364</v>
      </c>
      <c r="C74" s="116"/>
      <c r="D74" s="115">
        <f>SUM('[1]SUMMARY BUDGET MOVES '!F72:N72)+SUM('[1]SUMMARY BUDGET MOVES '!P72:S72)+SUM('[1]SUMMARY BUDGET MOVES '!V72:AD72)</f>
        <v>-4000</v>
      </c>
      <c r="E74" s="117"/>
      <c r="F74" s="115">
        <f>'[1]SUMMARY BUDGET MOVES '!AF72+'[1]SUMMARY BUDGET MOVES '!U72</f>
        <v>15.520000000000001</v>
      </c>
      <c r="G74" s="116"/>
      <c r="H74" s="115">
        <f t="shared" si="8"/>
        <v>5379.52</v>
      </c>
      <c r="I74" s="116"/>
      <c r="J74" s="115">
        <v>0</v>
      </c>
      <c r="K74" s="117"/>
      <c r="L74" s="115">
        <f>F74*1.02</f>
        <v>15.830400000000001</v>
      </c>
      <c r="M74" s="116"/>
      <c r="N74" s="115">
        <f t="shared" si="9"/>
        <v>5395.3504</v>
      </c>
      <c r="O74" s="116"/>
      <c r="P74" s="115">
        <v>0</v>
      </c>
      <c r="Q74" s="117"/>
      <c r="R74" s="115">
        <f>L74*1.02</f>
        <v>16.147008</v>
      </c>
      <c r="S74" s="116"/>
      <c r="T74" s="115">
        <f t="shared" si="10"/>
        <v>5411.497408</v>
      </c>
      <c r="U74" s="116"/>
      <c r="V74" s="115">
        <v>0</v>
      </c>
      <c r="W74" s="117"/>
      <c r="X74" s="115">
        <f>R74*1.02</f>
        <v>16.46994816</v>
      </c>
      <c r="Y74" s="116"/>
      <c r="Z74" s="115">
        <f t="shared" si="11"/>
        <v>5427.96735616</v>
      </c>
    </row>
    <row r="75" spans="1:26" ht="18">
      <c r="A75" s="94" t="s">
        <v>281</v>
      </c>
      <c r="B75" s="115">
        <f>'[1]SUMMARY BUDGET MOVES '!C73+'[1]SUMMARY BUDGET MOVES '!E73</f>
        <v>1586</v>
      </c>
      <c r="C75" s="116"/>
      <c r="D75" s="115">
        <f>SUM('[1]SUMMARY BUDGET MOVES '!F73:N73)+SUM('[1]SUMMARY BUDGET MOVES '!P73:S73)+SUM('[1]SUMMARY BUDGET MOVES '!V73:AD73)</f>
        <v>421</v>
      </c>
      <c r="E75" s="117"/>
      <c r="F75" s="115">
        <f>'[1]SUMMARY BUDGET MOVES '!AF73+'[1]SUMMARY BUDGET MOVES '!U73</f>
        <v>95.35000000000001</v>
      </c>
      <c r="G75" s="116"/>
      <c r="H75" s="130">
        <f t="shared" si="8"/>
        <v>2102.35</v>
      </c>
      <c r="I75" s="131"/>
      <c r="J75" s="115">
        <v>240</v>
      </c>
      <c r="K75" s="117"/>
      <c r="L75" s="115">
        <f>(H75+J75)*3%</f>
        <v>70.2705</v>
      </c>
      <c r="M75" s="116"/>
      <c r="N75" s="115">
        <f t="shared" si="9"/>
        <v>2412.6205</v>
      </c>
      <c r="O75" s="116"/>
      <c r="P75" s="115">
        <v>0</v>
      </c>
      <c r="Q75" s="117"/>
      <c r="R75" s="115">
        <f>(N75+P75)*3%</f>
        <v>72.378615</v>
      </c>
      <c r="S75" s="116"/>
      <c r="T75" s="115">
        <f t="shared" si="10"/>
        <v>2484.999115</v>
      </c>
      <c r="U75" s="116"/>
      <c r="V75" s="115">
        <v>0</v>
      </c>
      <c r="W75" s="117"/>
      <c r="X75" s="115">
        <f>(T75+V75)*3%</f>
        <v>74.54997345</v>
      </c>
      <c r="Y75" s="116"/>
      <c r="Z75" s="115">
        <f t="shared" si="11"/>
        <v>2559.54908845</v>
      </c>
    </row>
    <row r="76" spans="1:26" ht="18">
      <c r="A76" s="94" t="s">
        <v>282</v>
      </c>
      <c r="B76" s="115">
        <f>'[1]SUMMARY BUDGET MOVES '!C74+'[1]SUMMARY BUDGET MOVES '!E74</f>
        <v>-2864</v>
      </c>
      <c r="C76" s="116"/>
      <c r="D76" s="115">
        <f>SUM('[1]SUMMARY BUDGET MOVES '!F74:N74)+SUM('[1]SUMMARY BUDGET MOVES '!P74:S74)+SUM('[1]SUMMARY BUDGET MOVES '!V74:AD74)</f>
        <v>0</v>
      </c>
      <c r="E76" s="117"/>
      <c r="F76" s="115">
        <f>'[1]SUMMARY BUDGET MOVES '!AF74+'[1]SUMMARY BUDGET MOVES '!U74</f>
        <v>0</v>
      </c>
      <c r="G76" s="116"/>
      <c r="H76" s="115">
        <f t="shared" si="8"/>
        <v>-2864</v>
      </c>
      <c r="I76" s="116"/>
      <c r="J76" s="115">
        <v>0</v>
      </c>
      <c r="K76" s="117"/>
      <c r="L76" s="115">
        <v>0</v>
      </c>
      <c r="M76" s="116"/>
      <c r="N76" s="115">
        <f t="shared" si="9"/>
        <v>-2864</v>
      </c>
      <c r="O76" s="116"/>
      <c r="P76" s="115">
        <v>0</v>
      </c>
      <c r="Q76" s="117"/>
      <c r="R76" s="115">
        <v>0</v>
      </c>
      <c r="S76" s="116"/>
      <c r="T76" s="115">
        <f t="shared" si="10"/>
        <v>-2864</v>
      </c>
      <c r="U76" s="116"/>
      <c r="V76" s="115">
        <v>0</v>
      </c>
      <c r="W76" s="117"/>
      <c r="X76" s="115">
        <v>0</v>
      </c>
      <c r="Y76" s="116"/>
      <c r="Z76" s="115">
        <f t="shared" si="11"/>
        <v>-2864</v>
      </c>
    </row>
    <row r="77" spans="1:26" ht="18" hidden="1">
      <c r="A77" s="94" t="s">
        <v>283</v>
      </c>
      <c r="B77" s="115">
        <f>'[1]SUMMARY BUDGET MOVES '!C75+'[1]SUMMARY BUDGET MOVES '!E75</f>
        <v>0</v>
      </c>
      <c r="C77" s="116"/>
      <c r="D77" s="115">
        <f>SUM('[1]SUMMARY BUDGET MOVES '!F75:N75)+SUM('[1]SUMMARY BUDGET MOVES '!P75:S75)+SUM('[1]SUMMARY BUDGET MOVES '!V75:AD75)</f>
        <v>0</v>
      </c>
      <c r="E77" s="117"/>
      <c r="F77" s="115">
        <f>'[1]SUMMARY BUDGET MOVES '!AF75+'[1]SUMMARY BUDGET MOVES '!U75</f>
        <v>0</v>
      </c>
      <c r="G77" s="116"/>
      <c r="H77" s="115">
        <f t="shared" si="8"/>
        <v>0</v>
      </c>
      <c r="I77" s="116"/>
      <c r="J77" s="115">
        <v>0</v>
      </c>
      <c r="K77" s="117"/>
      <c r="L77" s="115">
        <v>0</v>
      </c>
      <c r="M77" s="116"/>
      <c r="N77" s="115">
        <f t="shared" si="9"/>
        <v>0</v>
      </c>
      <c r="O77" s="116"/>
      <c r="P77" s="115">
        <v>0</v>
      </c>
      <c r="Q77" s="117"/>
      <c r="R77" s="115">
        <v>0</v>
      </c>
      <c r="S77" s="116"/>
      <c r="T77" s="115">
        <f t="shared" si="10"/>
        <v>0</v>
      </c>
      <c r="U77" s="116"/>
      <c r="V77" s="115">
        <v>0</v>
      </c>
      <c r="W77" s="117"/>
      <c r="X77" s="115">
        <v>0</v>
      </c>
      <c r="Y77" s="116"/>
      <c r="Z77" s="115">
        <f t="shared" si="11"/>
        <v>0</v>
      </c>
    </row>
    <row r="78" spans="1:26" ht="18">
      <c r="A78" s="95" t="s">
        <v>284</v>
      </c>
      <c r="B78" s="115">
        <f>'[1]SUMMARY BUDGET MOVES '!C76+'[1]SUMMARY BUDGET MOVES '!E76</f>
        <v>-25856</v>
      </c>
      <c r="C78" s="116"/>
      <c r="D78" s="115">
        <f>SUM('[1]SUMMARY BUDGET MOVES '!F76:N76)+SUM('[1]SUMMARY BUDGET MOVES '!P76:S76)+SUM('[1]SUMMARY BUDGET MOVES '!V76:AD76)</f>
        <v>6735</v>
      </c>
      <c r="E78" s="117"/>
      <c r="F78" s="115">
        <f>'[1]SUMMARY BUDGET MOVES '!AF76+'[1]SUMMARY BUDGET MOVES '!U76</f>
        <v>-36.62083333333333</v>
      </c>
      <c r="G78" s="116"/>
      <c r="H78" s="115">
        <f t="shared" si="8"/>
        <v>-19157.620833333334</v>
      </c>
      <c r="I78" s="116"/>
      <c r="J78" s="115">
        <v>128</v>
      </c>
      <c r="K78" s="117"/>
      <c r="L78" s="115">
        <f>F78*1.02</f>
        <v>-37.353249999999996</v>
      </c>
      <c r="M78" s="116"/>
      <c r="N78" s="115">
        <f t="shared" si="9"/>
        <v>-19066.974083333334</v>
      </c>
      <c r="O78" s="116"/>
      <c r="P78" s="115">
        <v>48</v>
      </c>
      <c r="Q78" s="117"/>
      <c r="R78" s="115">
        <v>0</v>
      </c>
      <c r="S78" s="116"/>
      <c r="T78" s="115">
        <f t="shared" si="10"/>
        <v>-19018.974083333334</v>
      </c>
      <c r="U78" s="116"/>
      <c r="V78" s="115">
        <v>0</v>
      </c>
      <c r="W78" s="117"/>
      <c r="X78" s="115">
        <f>R78*1.02</f>
        <v>0</v>
      </c>
      <c r="Y78" s="116"/>
      <c r="Z78" s="115">
        <f t="shared" si="11"/>
        <v>-19018.974083333334</v>
      </c>
    </row>
    <row r="79" spans="1:26" ht="18.75" thickBot="1">
      <c r="A79" s="123" t="s">
        <v>285</v>
      </c>
      <c r="B79" s="122">
        <f>SUM(B63:B78)</f>
        <v>4036</v>
      </c>
      <c r="C79" s="116"/>
      <c r="D79" s="115">
        <f>SUM(D63:D78)</f>
        <v>1413</v>
      </c>
      <c r="E79" s="117"/>
      <c r="F79" s="122">
        <f>SUM(F63:F78)</f>
        <v>357.715</v>
      </c>
      <c r="G79" s="116"/>
      <c r="H79" s="122">
        <f>SUM(H63:H78)</f>
        <v>5806.715</v>
      </c>
      <c r="I79" s="116"/>
      <c r="J79" s="122">
        <f>SUM(J63:J78)</f>
        <v>639</v>
      </c>
      <c r="K79" s="117"/>
      <c r="L79" s="122">
        <f>SUM(L63:L78)</f>
        <v>359.191825</v>
      </c>
      <c r="M79" s="116"/>
      <c r="N79" s="122">
        <f t="shared" si="9"/>
        <v>6804.906825</v>
      </c>
      <c r="O79" s="116"/>
      <c r="P79" s="122">
        <f>SUM(P63:P78)</f>
        <v>-255</v>
      </c>
      <c r="Q79" s="117"/>
      <c r="R79" s="122">
        <f>SUM(R63:R78)</f>
        <v>410.51345725</v>
      </c>
      <c r="S79" s="116"/>
      <c r="T79" s="122">
        <f t="shared" si="10"/>
        <v>6960.42028225</v>
      </c>
      <c r="U79" s="116"/>
      <c r="V79" s="122">
        <f>SUM(V63:V78)</f>
        <v>550</v>
      </c>
      <c r="W79" s="117"/>
      <c r="X79" s="122">
        <f>SUM(X63:X78)</f>
        <v>425.01612811749993</v>
      </c>
      <c r="Y79" s="116"/>
      <c r="Z79" s="122">
        <f t="shared" si="11"/>
        <v>7935.4364103675</v>
      </c>
    </row>
    <row r="80" spans="2:26" ht="18.75" thickBot="1">
      <c r="B80" s="127"/>
      <c r="C80" s="125"/>
      <c r="D80" s="127"/>
      <c r="E80" s="125"/>
      <c r="F80" s="127"/>
      <c r="G80" s="116"/>
      <c r="H80" s="127"/>
      <c r="I80" s="125"/>
      <c r="J80" s="127"/>
      <c r="K80" s="125"/>
      <c r="L80" s="127"/>
      <c r="M80" s="116"/>
      <c r="N80" s="127"/>
      <c r="O80" s="125"/>
      <c r="P80" s="127"/>
      <c r="Q80" s="125"/>
      <c r="R80" s="127"/>
      <c r="S80" s="116"/>
      <c r="T80" s="127"/>
      <c r="U80" s="116"/>
      <c r="V80" s="127"/>
      <c r="W80" s="125"/>
      <c r="X80" s="127"/>
      <c r="Y80" s="116"/>
      <c r="Z80" s="127"/>
    </row>
    <row r="81" spans="1:26" ht="7.5" customHeight="1">
      <c r="A81" s="132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</row>
    <row r="82" spans="2:26" ht="8.25" customHeight="1" thickBot="1">
      <c r="B82" s="133"/>
      <c r="C82" s="125"/>
      <c r="D82" s="134"/>
      <c r="E82" s="125"/>
      <c r="F82" s="134"/>
      <c r="G82" s="116"/>
      <c r="H82" s="133"/>
      <c r="I82" s="125"/>
      <c r="J82" s="134"/>
      <c r="K82" s="125"/>
      <c r="L82" s="134"/>
      <c r="M82" s="116"/>
      <c r="N82" s="133"/>
      <c r="O82" s="125"/>
      <c r="P82" s="134"/>
      <c r="Q82" s="125"/>
      <c r="R82" s="134"/>
      <c r="S82" s="116"/>
      <c r="T82" s="133"/>
      <c r="U82" s="116"/>
      <c r="V82" s="134"/>
      <c r="W82" s="125"/>
      <c r="X82" s="134"/>
      <c r="Y82" s="116"/>
      <c r="Z82" s="133"/>
    </row>
    <row r="83" spans="1:26" ht="18.75" thickBot="1">
      <c r="A83" s="135" t="s">
        <v>286</v>
      </c>
      <c r="B83" s="124">
        <f>B52+B79</f>
        <v>416969.1578135106</v>
      </c>
      <c r="C83" s="116"/>
      <c r="D83" s="124">
        <f>D52+D79</f>
        <v>2916.95</v>
      </c>
      <c r="E83" s="116"/>
      <c r="F83" s="124">
        <f>F52+F79</f>
        <v>5029.799557973332</v>
      </c>
      <c r="G83" s="116"/>
      <c r="H83" s="124">
        <f>H52+H79</f>
        <v>424915.907371484</v>
      </c>
      <c r="I83" s="116"/>
      <c r="J83" s="124">
        <f>J52+J79</f>
        <v>5033</v>
      </c>
      <c r="K83" s="116"/>
      <c r="L83" s="124">
        <f>L52+L79</f>
        <v>6442.8813052351525</v>
      </c>
      <c r="M83" s="116"/>
      <c r="N83" s="124">
        <f>N52+N79</f>
        <v>436391.7886767191</v>
      </c>
      <c r="O83" s="116"/>
      <c r="P83" s="124">
        <f>P52+P79</f>
        <v>4041</v>
      </c>
      <c r="Q83" s="116"/>
      <c r="R83" s="124">
        <f>R52+R79</f>
        <v>9143.545865341875</v>
      </c>
      <c r="S83" s="116"/>
      <c r="T83" s="124">
        <f>T52+T79</f>
        <v>449576.33454206097</v>
      </c>
      <c r="U83" s="116"/>
      <c r="V83" s="124">
        <f>V52+V79</f>
        <v>833</v>
      </c>
      <c r="W83" s="116"/>
      <c r="X83" s="124">
        <f>X52+X79</f>
        <v>11053.661277655909</v>
      </c>
      <c r="Y83" s="116"/>
      <c r="Z83" s="124">
        <f>Z52+Z79</f>
        <v>461462.9958197169</v>
      </c>
    </row>
    <row r="84" spans="1:26" ht="18.75" thickTop="1">
      <c r="A84" s="114"/>
      <c r="B84" s="128"/>
      <c r="C84" s="125"/>
      <c r="D84" s="129"/>
      <c r="E84" s="125"/>
      <c r="F84" s="129"/>
      <c r="G84" s="116"/>
      <c r="H84" s="128"/>
      <c r="I84" s="125"/>
      <c r="J84" s="129"/>
      <c r="K84" s="125"/>
      <c r="L84" s="129"/>
      <c r="M84" s="116"/>
      <c r="N84" s="128"/>
      <c r="O84" s="125"/>
      <c r="P84" s="129"/>
      <c r="Q84" s="125"/>
      <c r="R84" s="129"/>
      <c r="S84" s="116"/>
      <c r="T84" s="128"/>
      <c r="U84" s="116"/>
      <c r="V84" s="129"/>
      <c r="W84" s="125"/>
      <c r="X84" s="129"/>
      <c r="Y84" s="116"/>
      <c r="Z84" s="128"/>
    </row>
    <row r="85" spans="1:26" ht="18">
      <c r="A85" s="94" t="s">
        <v>2</v>
      </c>
      <c r="B85" s="115">
        <v>1761</v>
      </c>
      <c r="C85" s="116"/>
      <c r="D85" s="115">
        <v>-34</v>
      </c>
      <c r="E85" s="117"/>
      <c r="F85" s="115">
        <v>9</v>
      </c>
      <c r="G85" s="116"/>
      <c r="H85" s="115">
        <f>SUM(B85:F85)</f>
        <v>1736</v>
      </c>
      <c r="I85" s="116"/>
      <c r="J85" s="115">
        <v>-33</v>
      </c>
      <c r="K85" s="117"/>
      <c r="L85" s="115">
        <v>25</v>
      </c>
      <c r="M85" s="116" t="s">
        <v>17</v>
      </c>
      <c r="N85" s="115">
        <f>SUM(H85:L85)</f>
        <v>1728</v>
      </c>
      <c r="O85" s="116"/>
      <c r="P85" s="115">
        <v>0</v>
      </c>
      <c r="Q85" s="117"/>
      <c r="R85" s="115">
        <f>(N85+P85)*1.5%</f>
        <v>25.919999999999998</v>
      </c>
      <c r="S85" s="116" t="s">
        <v>17</v>
      </c>
      <c r="T85" s="115">
        <f>SUM(N85:R85)</f>
        <v>1753.92</v>
      </c>
      <c r="U85" s="116"/>
      <c r="V85" s="115">
        <v>0</v>
      </c>
      <c r="W85" s="117"/>
      <c r="X85" s="115">
        <f>(T85+V85)*1.5%</f>
        <v>26.3088</v>
      </c>
      <c r="Y85" s="116" t="s">
        <v>17</v>
      </c>
      <c r="Z85" s="115">
        <f>SUM(T85:X85)</f>
        <v>1780.2288</v>
      </c>
    </row>
    <row r="86" spans="2:26" ht="18">
      <c r="B86" s="115"/>
      <c r="C86" s="116"/>
      <c r="D86" s="115"/>
      <c r="E86" s="117"/>
      <c r="F86" s="115"/>
      <c r="G86" s="116"/>
      <c r="H86" s="115"/>
      <c r="I86" s="116"/>
      <c r="J86" s="115"/>
      <c r="K86" s="117"/>
      <c r="L86" s="115"/>
      <c r="M86" s="116"/>
      <c r="N86" s="115"/>
      <c r="O86" s="116"/>
      <c r="P86" s="115"/>
      <c r="Q86" s="117"/>
      <c r="R86" s="115"/>
      <c r="S86" s="116"/>
      <c r="T86" s="115"/>
      <c r="U86" s="116"/>
      <c r="V86" s="115"/>
      <c r="W86" s="117"/>
      <c r="X86" s="115"/>
      <c r="Y86" s="116"/>
      <c r="Z86" s="115"/>
    </row>
    <row r="87" spans="1:26" ht="18">
      <c r="A87" s="94" t="s">
        <v>44</v>
      </c>
      <c r="B87" s="115"/>
      <c r="C87" s="116"/>
      <c r="D87" s="115">
        <v>0</v>
      </c>
      <c r="E87" s="117"/>
      <c r="F87" s="115"/>
      <c r="G87" s="116"/>
      <c r="H87" s="115">
        <f>SUM(B87:F87)</f>
        <v>0</v>
      </c>
      <c r="I87" s="116"/>
      <c r="J87" s="115"/>
      <c r="K87" s="117"/>
      <c r="L87" s="115"/>
      <c r="M87" s="116"/>
      <c r="N87" s="115">
        <f>SUM(H87:L87)</f>
        <v>0</v>
      </c>
      <c r="O87" s="116"/>
      <c r="P87" s="115"/>
      <c r="Q87" s="117"/>
      <c r="R87" s="115"/>
      <c r="S87" s="116"/>
      <c r="T87" s="115">
        <f>SUM(N87:R87)</f>
        <v>0</v>
      </c>
      <c r="U87" s="116"/>
      <c r="V87" s="115"/>
      <c r="W87" s="117"/>
      <c r="X87" s="115"/>
      <c r="Y87" s="116"/>
      <c r="Z87" s="115"/>
    </row>
    <row r="88" spans="2:26" ht="18">
      <c r="B88" s="115"/>
      <c r="C88" s="116"/>
      <c r="D88" s="115"/>
      <c r="E88" s="117"/>
      <c r="F88" s="115"/>
      <c r="G88" s="116"/>
      <c r="H88" s="115"/>
      <c r="I88" s="116"/>
      <c r="J88" s="115"/>
      <c r="K88" s="117"/>
      <c r="L88" s="115"/>
      <c r="M88" s="116"/>
      <c r="N88" s="115"/>
      <c r="O88" s="116"/>
      <c r="P88" s="115"/>
      <c r="Q88" s="117"/>
      <c r="R88" s="115"/>
      <c r="S88" s="116"/>
      <c r="T88" s="115"/>
      <c r="U88" s="116"/>
      <c r="V88" s="115"/>
      <c r="W88" s="117"/>
      <c r="X88" s="115"/>
      <c r="Y88" s="116"/>
      <c r="Z88" s="115"/>
    </row>
    <row r="89" spans="1:26" ht="18.75" thickBot="1">
      <c r="A89" s="94" t="s">
        <v>287</v>
      </c>
      <c r="B89" s="136">
        <f>SUM(B83:B88)</f>
        <v>418730.1578135106</v>
      </c>
      <c r="C89" s="136"/>
      <c r="D89" s="136">
        <f>SUM(D83:D88)</f>
        <v>2882.95</v>
      </c>
      <c r="E89" s="136"/>
      <c r="F89" s="136">
        <f>SUM(F83:F88)</f>
        <v>5038.799557973332</v>
      </c>
      <c r="G89" s="136"/>
      <c r="H89" s="136">
        <f>SUM(H83:H88)</f>
        <v>426651.907371484</v>
      </c>
      <c r="I89" s="136"/>
      <c r="J89" s="136">
        <f>SUM(J83:J88)</f>
        <v>5000</v>
      </c>
      <c r="K89" s="136"/>
      <c r="L89" s="136">
        <f>SUM(L83:L88)</f>
        <v>6467.8813052351525</v>
      </c>
      <c r="M89" s="136"/>
      <c r="N89" s="136">
        <f>SUM(N83:N88)</f>
        <v>438119.7886767191</v>
      </c>
      <c r="O89" s="136"/>
      <c r="P89" s="136">
        <f>SUM(P83:P88)</f>
        <v>4041</v>
      </c>
      <c r="Q89" s="136"/>
      <c r="R89" s="136">
        <f>SUM(R83:R88)</f>
        <v>9169.465865341876</v>
      </c>
      <c r="S89" s="136"/>
      <c r="T89" s="136">
        <f>SUM(T83:T88)</f>
        <v>451330.25454206095</v>
      </c>
      <c r="U89" s="116"/>
      <c r="V89" s="136">
        <f>SUM(V83:V88)</f>
        <v>833</v>
      </c>
      <c r="W89" s="136"/>
      <c r="X89" s="136">
        <f>SUM(X83:X88)</f>
        <v>11079.97007765591</v>
      </c>
      <c r="Y89" s="136"/>
      <c r="Z89" s="136">
        <f>SUM(Z83:Z88)</f>
        <v>463243.2246197169</v>
      </c>
    </row>
    <row r="90" spans="1:26" ht="18.75" thickTop="1">
      <c r="A90" s="94" t="s">
        <v>288</v>
      </c>
      <c r="B90" s="115"/>
      <c r="C90" s="116"/>
      <c r="D90" s="115"/>
      <c r="E90" s="116"/>
      <c r="F90" s="115"/>
      <c r="G90" s="116"/>
      <c r="H90" s="115"/>
      <c r="I90" s="116"/>
      <c r="J90" s="115"/>
      <c r="K90" s="116"/>
      <c r="L90" s="115"/>
      <c r="M90" s="116"/>
      <c r="N90" s="115"/>
      <c r="O90" s="116"/>
      <c r="P90" s="115"/>
      <c r="Q90" s="116"/>
      <c r="R90" s="115"/>
      <c r="S90" s="116"/>
      <c r="T90" s="115"/>
      <c r="U90" s="116"/>
      <c r="V90" s="115"/>
      <c r="W90" s="116"/>
      <c r="X90" s="115"/>
      <c r="Y90" s="116"/>
      <c r="Z90" s="115"/>
    </row>
    <row r="91" spans="1:26" ht="18">
      <c r="A91" s="94" t="s">
        <v>289</v>
      </c>
      <c r="B91" s="115">
        <v>7000</v>
      </c>
      <c r="C91" s="116"/>
      <c r="D91" s="115">
        <f>-1000+900</f>
        <v>-100</v>
      </c>
      <c r="E91" s="117"/>
      <c r="F91" s="115">
        <v>0</v>
      </c>
      <c r="G91" s="116"/>
      <c r="H91" s="115">
        <f>SUM(B91:F91)</f>
        <v>6900</v>
      </c>
      <c r="I91" s="116"/>
      <c r="J91" s="115">
        <v>0</v>
      </c>
      <c r="K91" s="117"/>
      <c r="L91" s="115">
        <v>0</v>
      </c>
      <c r="M91" s="116"/>
      <c r="N91" s="115">
        <f>SUM(H91:L91)</f>
        <v>6900</v>
      </c>
      <c r="O91" s="116"/>
      <c r="P91" s="115">
        <v>-900</v>
      </c>
      <c r="Q91" s="117"/>
      <c r="R91" s="115">
        <v>0</v>
      </c>
      <c r="S91" s="116"/>
      <c r="T91" s="115">
        <f>SUM(N91:R91)</f>
        <v>6000</v>
      </c>
      <c r="U91" s="116"/>
      <c r="V91" s="115">
        <v>0</v>
      </c>
      <c r="W91" s="117"/>
      <c r="X91" s="115">
        <v>0</v>
      </c>
      <c r="Y91" s="116"/>
      <c r="Z91" s="115">
        <f>SUM(T91:X91)</f>
        <v>6000</v>
      </c>
    </row>
    <row r="92" spans="1:28" ht="18">
      <c r="A92" s="94" t="s">
        <v>290</v>
      </c>
      <c r="B92" s="115">
        <v>322735</v>
      </c>
      <c r="C92" s="116"/>
      <c r="D92" s="115">
        <v>9006</v>
      </c>
      <c r="E92" s="117"/>
      <c r="F92" s="115"/>
      <c r="G92" s="116"/>
      <c r="H92" s="115">
        <f>SUM(B92:F92)</f>
        <v>331741</v>
      </c>
      <c r="I92" s="116"/>
      <c r="J92" s="115">
        <v>-17379</v>
      </c>
      <c r="K92" s="117"/>
      <c r="L92" s="115"/>
      <c r="M92" s="116"/>
      <c r="N92" s="115">
        <f>SUM(H92:L92)</f>
        <v>314362</v>
      </c>
      <c r="O92" s="116"/>
      <c r="P92" s="115">
        <v>-5769</v>
      </c>
      <c r="Q92" s="117"/>
      <c r="R92" s="115"/>
      <c r="S92" s="116"/>
      <c r="T92" s="115">
        <f>SUM(N92:R92)</f>
        <v>308593</v>
      </c>
      <c r="U92" s="116"/>
      <c r="V92" s="115">
        <v>-3178</v>
      </c>
      <c r="W92" s="117"/>
      <c r="X92" s="115"/>
      <c r="Y92" s="116"/>
      <c r="Z92" s="115">
        <f>SUM(T92:X92)</f>
        <v>305415</v>
      </c>
      <c r="AB92" s="118"/>
    </row>
    <row r="93" spans="1:26" ht="15.75" customHeight="1">
      <c r="A93" s="94" t="s">
        <v>291</v>
      </c>
      <c r="B93" s="115">
        <v>-541</v>
      </c>
      <c r="C93" s="116"/>
      <c r="D93" s="115">
        <v>32</v>
      </c>
      <c r="E93" s="117"/>
      <c r="F93" s="115"/>
      <c r="G93" s="116"/>
      <c r="H93" s="115">
        <f>SUM(B93:F93)</f>
        <v>-509</v>
      </c>
      <c r="I93" s="116"/>
      <c r="J93" s="115">
        <v>-91</v>
      </c>
      <c r="K93" s="117"/>
      <c r="L93" s="115"/>
      <c r="M93" s="116"/>
      <c r="N93" s="115">
        <f>SUM(H93:L93)</f>
        <v>-600</v>
      </c>
      <c r="O93" s="116"/>
      <c r="P93" s="115"/>
      <c r="Q93" s="117"/>
      <c r="R93" s="115"/>
      <c r="S93" s="116"/>
      <c r="T93" s="115">
        <f>SUM(N93:R93)</f>
        <v>-600</v>
      </c>
      <c r="U93" s="116"/>
      <c r="V93" s="115"/>
      <c r="W93" s="117"/>
      <c r="X93" s="115"/>
      <c r="Y93" s="116"/>
      <c r="Z93" s="115">
        <f>SUM(T93:X93)</f>
        <v>-600</v>
      </c>
    </row>
    <row r="94" spans="1:26" ht="17.25" customHeight="1">
      <c r="A94" s="94" t="s">
        <v>292</v>
      </c>
      <c r="B94" s="115">
        <v>0</v>
      </c>
      <c r="C94" s="116"/>
      <c r="D94" s="115">
        <v>0</v>
      </c>
      <c r="E94" s="117"/>
      <c r="F94" s="115"/>
      <c r="G94" s="116"/>
      <c r="H94" s="115">
        <f>SUM(B94:F94)</f>
        <v>0</v>
      </c>
      <c r="I94" s="116"/>
      <c r="J94" s="115"/>
      <c r="K94" s="117"/>
      <c r="L94" s="115"/>
      <c r="M94" s="116"/>
      <c r="N94" s="115">
        <f>SUM(H94:L94)</f>
        <v>0</v>
      </c>
      <c r="O94" s="116"/>
      <c r="P94" s="115"/>
      <c r="Q94" s="117"/>
      <c r="R94" s="115"/>
      <c r="S94" s="116"/>
      <c r="T94" s="115">
        <f>SUM(N94:R94)</f>
        <v>0</v>
      </c>
      <c r="U94" s="116"/>
      <c r="V94" s="115"/>
      <c r="W94" s="117"/>
      <c r="X94" s="115"/>
      <c r="Y94" s="116"/>
      <c r="Z94" s="115">
        <f>SUM(T94:X94)</f>
        <v>0</v>
      </c>
    </row>
    <row r="95" spans="2:26" ht="7.5" customHeight="1">
      <c r="B95" s="115"/>
      <c r="C95" s="116"/>
      <c r="D95" s="115"/>
      <c r="E95" s="117"/>
      <c r="F95" s="115"/>
      <c r="G95" s="116"/>
      <c r="H95" s="115"/>
      <c r="I95" s="116"/>
      <c r="J95" s="115"/>
      <c r="K95" s="117"/>
      <c r="L95" s="115"/>
      <c r="M95" s="116"/>
      <c r="N95" s="115"/>
      <c r="O95" s="116"/>
      <c r="P95" s="115"/>
      <c r="Q95" s="117"/>
      <c r="R95" s="115"/>
      <c r="S95" s="116"/>
      <c r="T95" s="115"/>
      <c r="U95" s="116"/>
      <c r="V95" s="115"/>
      <c r="W95" s="117"/>
      <c r="X95" s="115"/>
      <c r="Y95" s="116"/>
      <c r="Z95" s="115"/>
    </row>
    <row r="96" spans="2:26" ht="11.25" customHeight="1" thickBot="1">
      <c r="B96" s="122"/>
      <c r="C96" s="116"/>
      <c r="D96" s="122"/>
      <c r="E96" s="117"/>
      <c r="F96" s="122"/>
      <c r="G96" s="116"/>
      <c r="H96" s="122"/>
      <c r="I96" s="116"/>
      <c r="J96" s="122"/>
      <c r="K96" s="117"/>
      <c r="L96" s="122"/>
      <c r="M96" s="116"/>
      <c r="N96" s="122"/>
      <c r="O96" s="116"/>
      <c r="P96" s="122"/>
      <c r="Q96" s="117"/>
      <c r="R96" s="122"/>
      <c r="S96" s="116"/>
      <c r="T96" s="122"/>
      <c r="U96" s="116"/>
      <c r="V96" s="122"/>
      <c r="W96" s="117"/>
      <c r="X96" s="122"/>
      <c r="Y96" s="116"/>
      <c r="Z96" s="122"/>
    </row>
    <row r="97" spans="1:26" ht="18.75" thickBot="1">
      <c r="A97" s="135" t="s">
        <v>18</v>
      </c>
      <c r="B97" s="124">
        <f>SUM(B91:B96)</f>
        <v>329194</v>
      </c>
      <c r="C97" s="124"/>
      <c r="D97" s="124">
        <f>SUM(D91:D96)</f>
        <v>8938</v>
      </c>
      <c r="E97" s="124"/>
      <c r="F97" s="124">
        <f>SUM(F91:F96)</f>
        <v>0</v>
      </c>
      <c r="G97" s="124"/>
      <c r="H97" s="124">
        <f>SUM(H91:H96)</f>
        <v>338132</v>
      </c>
      <c r="I97" s="124"/>
      <c r="J97" s="124">
        <f>SUM(J91:J96)</f>
        <v>-17470</v>
      </c>
      <c r="K97" s="124"/>
      <c r="L97" s="124">
        <f>SUM(L91:L96)</f>
        <v>0</v>
      </c>
      <c r="M97" s="124"/>
      <c r="N97" s="124">
        <f>SUM(N91:N96)</f>
        <v>320662</v>
      </c>
      <c r="O97" s="124"/>
      <c r="P97" s="124">
        <f>SUM(P91:P96)</f>
        <v>-6669</v>
      </c>
      <c r="Q97" s="124"/>
      <c r="R97" s="124">
        <f>SUM(R91:R96)</f>
        <v>0</v>
      </c>
      <c r="S97" s="124"/>
      <c r="T97" s="124">
        <f>SUM(T91:T96)</f>
        <v>313993</v>
      </c>
      <c r="U97" s="116"/>
      <c r="V97" s="124">
        <f>SUM(V91:V96)</f>
        <v>-3178</v>
      </c>
      <c r="W97" s="124"/>
      <c r="X97" s="124">
        <f>SUM(X91:X96)</f>
        <v>0</v>
      </c>
      <c r="Y97" s="124"/>
      <c r="Z97" s="124">
        <f>SUM(Z91:Z96)</f>
        <v>310815</v>
      </c>
    </row>
    <row r="98" spans="2:26" ht="19.5" thickBot="1" thickTop="1">
      <c r="B98" s="137"/>
      <c r="C98" s="116"/>
      <c r="D98" s="122"/>
      <c r="E98" s="125"/>
      <c r="F98" s="122"/>
      <c r="G98" s="116"/>
      <c r="H98" s="137"/>
      <c r="I98" s="116"/>
      <c r="J98" s="122"/>
      <c r="K98" s="125"/>
      <c r="L98" s="122"/>
      <c r="M98" s="116"/>
      <c r="N98" s="137"/>
      <c r="O98" s="116"/>
      <c r="P98" s="122"/>
      <c r="Q98" s="125"/>
      <c r="R98" s="122"/>
      <c r="S98" s="116"/>
      <c r="T98" s="137"/>
      <c r="U98" s="116"/>
      <c r="V98" s="122"/>
      <c r="W98" s="125"/>
      <c r="X98" s="122"/>
      <c r="Y98" s="116"/>
      <c r="Z98" s="137"/>
    </row>
    <row r="99" spans="2:26" ht="18"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</row>
    <row r="100" spans="2:26" ht="6.75" customHeight="1" thickBot="1">
      <c r="B100" s="133" t="s">
        <v>17</v>
      </c>
      <c r="C100" s="125"/>
      <c r="D100" s="134"/>
      <c r="E100" s="125"/>
      <c r="F100" s="134"/>
      <c r="G100" s="116"/>
      <c r="H100" s="133"/>
      <c r="I100" s="125"/>
      <c r="J100" s="134"/>
      <c r="K100" s="125"/>
      <c r="L100" s="134"/>
      <c r="M100" s="116"/>
      <c r="N100" s="133"/>
      <c r="O100" s="125"/>
      <c r="P100" s="134"/>
      <c r="Q100" s="125"/>
      <c r="R100" s="134"/>
      <c r="S100" s="116"/>
      <c r="T100" s="133"/>
      <c r="U100" s="116"/>
      <c r="V100" s="134"/>
      <c r="W100" s="125"/>
      <c r="X100" s="134"/>
      <c r="Y100" s="116"/>
      <c r="Z100" s="133"/>
    </row>
    <row r="101" spans="1:26" ht="18.75" thickBot="1">
      <c r="A101" s="135" t="s">
        <v>293</v>
      </c>
      <c r="B101" s="124">
        <v>89536</v>
      </c>
      <c r="C101" s="116"/>
      <c r="D101" s="124">
        <v>-11362</v>
      </c>
      <c r="E101" s="116"/>
      <c r="F101" s="124"/>
      <c r="G101" s="116"/>
      <c r="H101" s="124">
        <f>SUM(B101:F101)</f>
        <v>78174</v>
      </c>
      <c r="I101" s="116"/>
      <c r="J101" s="124">
        <v>1564</v>
      </c>
      <c r="K101" s="116"/>
      <c r="L101" s="124"/>
      <c r="M101" s="116"/>
      <c r="N101" s="124">
        <f>SUM(H101:L101)</f>
        <v>79738</v>
      </c>
      <c r="O101" s="116"/>
      <c r="P101" s="124">
        <v>1595</v>
      </c>
      <c r="Q101" s="116"/>
      <c r="R101" s="124"/>
      <c r="S101" s="116"/>
      <c r="T101" s="124">
        <f>SUM(N101:R101)</f>
        <v>81333</v>
      </c>
      <c r="U101" s="116"/>
      <c r="V101" s="124">
        <v>1626</v>
      </c>
      <c r="W101" s="116"/>
      <c r="X101" s="124"/>
      <c r="Y101" s="116"/>
      <c r="Z101" s="124">
        <f>SUM(T101:X101)</f>
        <v>82959</v>
      </c>
    </row>
    <row r="102" spans="1:26" ht="19.5" thickBot="1" thickTop="1">
      <c r="A102" s="94">
        <f>6</f>
        <v>6</v>
      </c>
      <c r="B102" s="137"/>
      <c r="C102" s="116"/>
      <c r="D102" s="122"/>
      <c r="E102" s="125"/>
      <c r="F102" s="122"/>
      <c r="G102" s="116"/>
      <c r="H102" s="137"/>
      <c r="I102" s="116"/>
      <c r="J102" s="122"/>
      <c r="K102" s="125"/>
      <c r="L102" s="122"/>
      <c r="M102" s="116"/>
      <c r="N102" s="137"/>
      <c r="O102" s="116"/>
      <c r="P102" s="122"/>
      <c r="Q102" s="125"/>
      <c r="R102" s="122"/>
      <c r="S102" s="116"/>
      <c r="T102" s="137"/>
      <c r="U102" s="116"/>
      <c r="V102" s="122"/>
      <c r="W102" s="125"/>
      <c r="X102" s="122"/>
      <c r="Y102" s="116"/>
      <c r="Z102" s="137"/>
    </row>
    <row r="103" spans="2:26" ht="18"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</row>
    <row r="104" spans="2:26" ht="0.75" customHeight="1" thickBot="1">
      <c r="B104" s="133"/>
      <c r="C104" s="125"/>
      <c r="D104" s="134"/>
      <c r="E104" s="125"/>
      <c r="F104" s="134"/>
      <c r="G104" s="116"/>
      <c r="H104" s="133">
        <f>H89+H97+H101</f>
        <v>842957.907371484</v>
      </c>
      <c r="I104" s="125"/>
      <c r="J104" s="134"/>
      <c r="K104" s="125"/>
      <c r="L104" s="134"/>
      <c r="M104" s="116"/>
      <c r="N104" s="133"/>
      <c r="O104" s="125"/>
      <c r="P104" s="134"/>
      <c r="Q104" s="125"/>
      <c r="R104" s="134"/>
      <c r="S104" s="116"/>
      <c r="T104" s="133"/>
      <c r="U104" s="116"/>
      <c r="V104" s="134"/>
      <c r="W104" s="125"/>
      <c r="X104" s="134"/>
      <c r="Y104" s="116"/>
      <c r="Z104" s="133"/>
    </row>
    <row r="105" spans="1:26" ht="18.75" thickBot="1">
      <c r="A105" s="135" t="s">
        <v>294</v>
      </c>
      <c r="B105" s="124"/>
      <c r="C105" s="116"/>
      <c r="D105" s="124"/>
      <c r="E105" s="116"/>
      <c r="F105" s="124"/>
      <c r="G105" s="116"/>
      <c r="H105" s="124">
        <f>H89-H97-H101</f>
        <v>10345.907371483976</v>
      </c>
      <c r="I105" s="116"/>
      <c r="J105" s="124" t="s">
        <v>17</v>
      </c>
      <c r="K105" s="116"/>
      <c r="L105" s="124"/>
      <c r="M105" s="116"/>
      <c r="N105" s="124">
        <f>N89-N97-N101</f>
        <v>37719.78867671912</v>
      </c>
      <c r="O105" s="116"/>
      <c r="P105" s="124" t="s">
        <v>17</v>
      </c>
      <c r="Q105" s="116"/>
      <c r="R105" s="124"/>
      <c r="S105" s="116"/>
      <c r="T105" s="124">
        <f>T89-T97-T101</f>
        <v>56004.25454206095</v>
      </c>
      <c r="U105" s="116"/>
      <c r="V105" s="124" t="s">
        <v>17</v>
      </c>
      <c r="W105" s="116"/>
      <c r="X105" s="124"/>
      <c r="Y105" s="116"/>
      <c r="Z105" s="124">
        <f>Z89-Z97-Z101</f>
        <v>69469.22461971687</v>
      </c>
    </row>
    <row r="106" spans="2:26" ht="19.5" thickBot="1" thickTop="1">
      <c r="B106" s="137"/>
      <c r="C106" s="116"/>
      <c r="D106" s="122"/>
      <c r="E106" s="125"/>
      <c r="F106" s="122"/>
      <c r="G106" s="116"/>
      <c r="H106" s="137"/>
      <c r="I106" s="116"/>
      <c r="J106" s="122"/>
      <c r="K106" s="125"/>
      <c r="L106" s="122"/>
      <c r="M106" s="116"/>
      <c r="N106" s="137"/>
      <c r="O106" s="116"/>
      <c r="P106" s="122"/>
      <c r="Q106" s="125"/>
      <c r="R106" s="122"/>
      <c r="S106" s="116"/>
      <c r="T106" s="137"/>
      <c r="U106" s="116"/>
      <c r="V106" s="122"/>
      <c r="W106" s="125"/>
      <c r="X106" s="122"/>
      <c r="Y106" s="116"/>
      <c r="Z106" s="137"/>
    </row>
    <row r="107" spans="2:21" ht="18"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 t="s">
        <v>17</v>
      </c>
      <c r="O107" s="116"/>
      <c r="P107" s="116"/>
      <c r="Q107" s="116"/>
      <c r="R107" s="116"/>
      <c r="S107" s="116"/>
      <c r="T107" s="116" t="s">
        <v>17</v>
      </c>
      <c r="U107" s="116"/>
    </row>
    <row r="108" spans="2:26" ht="18">
      <c r="B108" s="116"/>
      <c r="H108" s="138" t="s">
        <v>17</v>
      </c>
      <c r="J108" s="95" t="s">
        <v>17</v>
      </c>
      <c r="N108" s="138"/>
      <c r="T108" s="138"/>
      <c r="Z108" s="138" t="s">
        <v>17</v>
      </c>
    </row>
    <row r="109" ht="18">
      <c r="B109" s="116"/>
    </row>
    <row r="110" spans="2:26" ht="18">
      <c r="B110" s="144"/>
      <c r="H110" s="144"/>
      <c r="N110" s="144"/>
      <c r="P110" s="120"/>
      <c r="T110" s="144"/>
      <c r="Z110" s="144"/>
    </row>
    <row r="111" spans="6:26" ht="18">
      <c r="F111" s="118" t="s">
        <v>17</v>
      </c>
      <c r="H111" s="138"/>
      <c r="N111" s="138"/>
      <c r="T111" s="138"/>
      <c r="Z111" s="138"/>
    </row>
    <row r="112" spans="8:26" ht="18">
      <c r="H112" s="138"/>
      <c r="J112" s="139" t="s">
        <v>17</v>
      </c>
      <c r="N112" s="138"/>
      <c r="T112" s="138"/>
      <c r="Z112" s="138"/>
    </row>
    <row r="113" spans="8:14" ht="18">
      <c r="H113" s="138"/>
      <c r="J113" s="139"/>
      <c r="N113" s="138"/>
    </row>
    <row r="114" spans="8:27" ht="18">
      <c r="H114" s="138"/>
      <c r="J114" s="140"/>
      <c r="N114" s="138"/>
      <c r="T114" s="138"/>
      <c r="Z114" s="138"/>
      <c r="AA114" s="138"/>
    </row>
    <row r="116" spans="20:27" ht="18">
      <c r="T116" s="138"/>
      <c r="Z116" s="138"/>
      <c r="AA116" s="138"/>
    </row>
    <row r="117" spans="20:26" ht="18">
      <c r="T117" s="138"/>
      <c r="Z117" s="138"/>
    </row>
    <row r="118" spans="20:26" ht="18">
      <c r="T118" s="138"/>
      <c r="Z118" s="138"/>
    </row>
    <row r="119" ht="18">
      <c r="H119" s="95" t="s">
        <v>17</v>
      </c>
    </row>
    <row r="120" spans="8:27" ht="18">
      <c r="H120" s="138"/>
      <c r="N120" s="138"/>
      <c r="T120" s="138"/>
      <c r="Z120" s="138"/>
      <c r="AA120" s="138"/>
    </row>
    <row r="122" spans="8:27" ht="18">
      <c r="H122" s="138"/>
      <c r="N122" s="138"/>
      <c r="T122" s="138"/>
      <c r="AA122" s="138"/>
    </row>
    <row r="123" spans="8:26" ht="18">
      <c r="H123" s="138"/>
      <c r="N123" s="138"/>
      <c r="T123" s="138"/>
      <c r="Z123" s="138"/>
    </row>
    <row r="124" spans="8:26" ht="18">
      <c r="H124" s="138"/>
      <c r="N124" s="138"/>
      <c r="T124" s="138"/>
      <c r="Z124" s="138"/>
    </row>
    <row r="125" spans="8:20" ht="18">
      <c r="H125" s="138" t="s">
        <v>17</v>
      </c>
      <c r="N125" s="138" t="s">
        <v>17</v>
      </c>
      <c r="T125" s="138"/>
    </row>
    <row r="126" spans="8:20" ht="18">
      <c r="H126" s="138" t="s">
        <v>17</v>
      </c>
      <c r="N126" s="138" t="s">
        <v>17</v>
      </c>
      <c r="T126" s="139"/>
    </row>
    <row r="128" spans="8:26" ht="18">
      <c r="H128" s="138" t="s">
        <v>17</v>
      </c>
      <c r="N128" s="138" t="s">
        <v>17</v>
      </c>
      <c r="T128" s="138" t="s">
        <v>17</v>
      </c>
      <c r="Z128" s="138" t="s">
        <v>17</v>
      </c>
    </row>
  </sheetData>
  <sheetProtection/>
  <printOptions/>
  <pageMargins left="0.17" right="0.16" top="0.4" bottom="0.58" header="0.17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Yorkshire Police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3 - Precept Proposal, Supporting Appendices</dc:title>
  <dc:subject/>
  <dc:creator>401368</dc:creator>
  <cp:keywords/>
  <dc:description/>
  <cp:lastModifiedBy>Elliott, Clare (AWYA)</cp:lastModifiedBy>
  <cp:lastPrinted>2013-01-27T10:00:16Z</cp:lastPrinted>
  <dcterms:created xsi:type="dcterms:W3CDTF">2012-09-13T08:23:58Z</dcterms:created>
  <dcterms:modified xsi:type="dcterms:W3CDTF">2013-01-28T16:02:17Z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nnotations">
    <vt:lpwstr/>
  </property>
  <property fmtid="{D5CDD505-2E9C-101B-9397-08002B2CF9AE}" pid="3" name="Summary">
    <vt:lpwstr/>
  </property>
  <property fmtid="{D5CDD505-2E9C-101B-9397-08002B2CF9AE}" pid="4" name="GPMS">
    <vt:lpwstr>RESTRICTED</vt:lpwstr>
  </property>
  <property fmtid="{D5CDD505-2E9C-101B-9397-08002B2CF9AE}" pid="5" name="Document Keywords">
    <vt:lpwstr/>
  </property>
  <property fmtid="{D5CDD505-2E9C-101B-9397-08002B2CF9AE}" pid="6" name="Last Review Date">
    <vt:lpwstr>2012-09-13T00:00:00Z</vt:lpwstr>
  </property>
  <property fmtid="{D5CDD505-2E9C-101B-9397-08002B2CF9AE}" pid="7" name="Document Origin">
    <vt:lpwstr/>
  </property>
  <property fmtid="{D5CDD505-2E9C-101B-9397-08002B2CF9AE}" pid="8" name="Item Date">
    <vt:lpwstr/>
  </property>
  <property fmtid="{D5CDD505-2E9C-101B-9397-08002B2CF9AE}" pid="9" name="Publish to CMS">
    <vt:lpwstr>No</vt:lpwstr>
  </property>
  <property fmtid="{D5CDD505-2E9C-101B-9397-08002B2CF9AE}" pid="10" name="Mark for Archive">
    <vt:lpwstr>No</vt:lpwstr>
  </property>
  <property fmtid="{D5CDD505-2E9C-101B-9397-08002B2CF9AE}" pid="11" name="Document Author">
    <vt:lpwstr>94</vt:lpwstr>
  </property>
  <property fmtid="{D5CDD505-2E9C-101B-9397-08002B2CF9AE}" pid="12" name="Information Type">
    <vt:lpwstr>Budget</vt:lpwstr>
  </property>
  <property fmtid="{D5CDD505-2E9C-101B-9397-08002B2CF9AE}" pid="13" name="DMS Location">
    <vt:lpwstr>YF Finance &amp; Business Support</vt:lpwstr>
  </property>
  <property fmtid="{D5CDD505-2E9C-101B-9397-08002B2CF9AE}" pid="14" name="Document Owner">
    <vt:lpwstr>53</vt:lpwstr>
  </property>
  <property fmtid="{D5CDD505-2E9C-101B-9397-08002B2CF9AE}" pid="15" name="Human Rights Complaint">
    <vt:lpwstr/>
  </property>
  <property fmtid="{D5CDD505-2E9C-101B-9397-08002B2CF9AE}" pid="16" name="Policing Bureaucracy">
    <vt:lpwstr/>
  </property>
  <property fmtid="{D5CDD505-2E9C-101B-9397-08002B2CF9AE}" pid="17" name="ContentType">
    <vt:lpwstr>Finance</vt:lpwstr>
  </property>
  <property fmtid="{D5CDD505-2E9C-101B-9397-08002B2CF9AE}" pid="18" name="display_urn:schemas-microsoft-com:office:office#Document_x0020_Author">
    <vt:lpwstr>Stubbs, Martin</vt:lpwstr>
  </property>
  <property fmtid="{D5CDD505-2E9C-101B-9397-08002B2CF9AE}" pid="19" name="display_urn:schemas-microsoft-com:office:office#Document_x0020_Owner">
    <vt:lpwstr>Document Reviewers</vt:lpwstr>
  </property>
  <property fmtid="{D5CDD505-2E9C-101B-9397-08002B2CF9AE}" pid="20" name="display_urn:schemas-microsoft-com:office:office#Editor">
    <vt:lpwstr>Stubbs, Martin</vt:lpwstr>
  </property>
  <property fmtid="{D5CDD505-2E9C-101B-9397-08002B2CF9AE}" pid="21" name="display_urn:schemas-microsoft-com:office:office#Author">
    <vt:lpwstr>Stubbs, Martin</vt:lpwstr>
  </property>
</Properties>
</file>