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7920" windowHeight="5895" activeTab="0"/>
  </bookViews>
  <sheets>
    <sheet name="MTFF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CENSUS_CALC">'[2].CENSUS_DATA'!#REF!</definedName>
    <definedName name="CENSUS_PRCNT">'[2].CENSUS_DATA'!#REF!</definedName>
    <definedName name="CRIT_CENSUS">'[2].CENSUS_DATA'!#REF!</definedName>
    <definedName name="CRIT_DFGMAND">'[2]DFG_MANDATORY'!#REF!</definedName>
    <definedName name="CRIT_HMO">'[2]HMO'!#REF!</definedName>
    <definedName name="CRIT_HOMEREP">'[2]HOME_REPAIR'!#REF!</definedName>
    <definedName name="CRIT_RENGRANT">'[2].RENOVATION_GRANT'!#REF!</definedName>
    <definedName name="CRIT_RENTEXP">#REF!</definedName>
    <definedName name="CRIT_SCHOOL">#REF!</definedName>
    <definedName name="CRIT_UNEMP">#REF!</definedName>
    <definedName name="EDUCATION">#REF!</definedName>
    <definedName name="EDUCATION_EXPBLK">#REF!</definedName>
    <definedName name="HEADS">#REF!</definedName>
    <definedName name="HEADS_EXPBLK">#REF!</definedName>
    <definedName name="Police2010_11">#REF!</definedName>
    <definedName name="_xlnm.Print_Area" localSheetId="0">'MTFF'!$A$1:$AG$125</definedName>
    <definedName name="_xlnm.Print_Titles" localSheetId="0">'MTFF'!$3:$10</definedName>
    <definedName name="Provorfin">#REF!</definedName>
    <definedName name="RENGRANT_PRCNT">'[2].RENOVATION_GRANT'!#REF!</definedName>
    <definedName name="RENTEXP">#REF!</definedName>
    <definedName name="RENTEXP_EXPBLK">#REF!</definedName>
    <definedName name="RENTEXP_PRCNT">#REF!</definedName>
    <definedName name="round_factor">'[4]Monetary Control totals'!$B$19</definedName>
    <definedName name="SCHOOL_PRCNT">#REF!</definedName>
    <definedName name="TRAVEL">#REF!</definedName>
    <definedName name="TRAVEL_EXPBLK">#REF!</definedName>
    <definedName name="UNINTENT2">'[2]UNINTENT_HOME'!#REF!</definedName>
  </definedNames>
  <calcPr fullCalcOnLoad="1"/>
</workbook>
</file>

<file path=xl/sharedStrings.xml><?xml version="1.0" encoding="utf-8"?>
<sst xmlns="http://schemas.openxmlformats.org/spreadsheetml/2006/main" count="189" uniqueCount="102">
  <si>
    <t xml:space="preserve"> </t>
  </si>
  <si>
    <t>£000</t>
  </si>
  <si>
    <t>GROWTH</t>
  </si>
  <si>
    <t>ORGANISATIONAL CHANGE COSTS</t>
  </si>
  <si>
    <t>TOTAL</t>
  </si>
  <si>
    <t>Note 1</t>
  </si>
  <si>
    <t>WEST YORKSHIRE POLICE MEDIUM TERM FINANCIAL FORECAST 2013-14 TO 2016-17</t>
  </si>
  <si>
    <t>2013/2014</t>
  </si>
  <si>
    <t>Savings</t>
  </si>
  <si>
    <t>Adjustments</t>
  </si>
  <si>
    <t xml:space="preserve">Pay and </t>
  </si>
  <si>
    <t>2014/2015</t>
  </si>
  <si>
    <t>2015/2016</t>
  </si>
  <si>
    <t>2016/2017</t>
  </si>
  <si>
    <t>2017/2018</t>
  </si>
  <si>
    <t>Estimate at</t>
  </si>
  <si>
    <t>Revised</t>
  </si>
  <si>
    <t>Prices</t>
  </si>
  <si>
    <t>Outturn</t>
  </si>
  <si>
    <t>Estimate</t>
  </si>
  <si>
    <t>DEVOLVED AND DELEGATED</t>
  </si>
  <si>
    <t xml:space="preserve">Police Pay </t>
  </si>
  <si>
    <t>Police Allowances</t>
  </si>
  <si>
    <t>Police Staff Pay and Allowances</t>
  </si>
  <si>
    <t>Police Overtime</t>
  </si>
  <si>
    <t>Police Staff Overtime</t>
  </si>
  <si>
    <t>Sub Total Pay and Overtime</t>
  </si>
  <si>
    <t>Medical Expenses</t>
  </si>
  <si>
    <t>Forensic</t>
  </si>
  <si>
    <t>AFR</t>
  </si>
  <si>
    <t>DNA</t>
  </si>
  <si>
    <t>Clothing</t>
  </si>
  <si>
    <t>Training</t>
  </si>
  <si>
    <t>Computers and Communications</t>
  </si>
  <si>
    <t>Buildings Maintenance</t>
  </si>
  <si>
    <t>Cleaning</t>
  </si>
  <si>
    <t>Rent and Rates</t>
  </si>
  <si>
    <t>Energy</t>
  </si>
  <si>
    <t>Contracted Support Services</t>
  </si>
  <si>
    <t>Car Allowances &amp; Travel</t>
  </si>
  <si>
    <t>Vehicle Fleet</t>
  </si>
  <si>
    <t>Internal Printing</t>
  </si>
  <si>
    <t>Training Recharge</t>
  </si>
  <si>
    <t>Advertising</t>
  </si>
  <si>
    <t>Furniture and Fittings</t>
  </si>
  <si>
    <t>Operational and Admin Equipment</t>
  </si>
  <si>
    <t>Photocopying</t>
  </si>
  <si>
    <t>Printing Stationery and Publications</t>
  </si>
  <si>
    <t>Postage</t>
  </si>
  <si>
    <t>Divisional Initiatives/Community Safety</t>
  </si>
  <si>
    <t>ID Parades</t>
  </si>
  <si>
    <t>Vehicle Recovery</t>
  </si>
  <si>
    <t>Agency Staff and Professional Services</t>
  </si>
  <si>
    <t>Helicopter</t>
  </si>
  <si>
    <t>PFI</t>
  </si>
  <si>
    <t>Officers From Other Forces</t>
  </si>
  <si>
    <t>Subsitence Hotel &amp; Hospitality</t>
  </si>
  <si>
    <t>Other</t>
  </si>
  <si>
    <t>Income</t>
  </si>
  <si>
    <t>Sub Total Non Pay</t>
  </si>
  <si>
    <t>TOTAL DEVOLVED AND DELEGATED</t>
  </si>
  <si>
    <t>NON DEVOLVED/ DELEGATED</t>
  </si>
  <si>
    <t>Pensions</t>
  </si>
  <si>
    <t>Capital Financing:</t>
  </si>
  <si>
    <t>Debt Charges</t>
  </si>
  <si>
    <t>Direct Revenue Support</t>
  </si>
  <si>
    <t>Unfunded Pension Costs</t>
  </si>
  <si>
    <t>Insurance</t>
  </si>
  <si>
    <t>Prisoner Meals</t>
  </si>
  <si>
    <t>Witness Allowances/Interpreters Fees</t>
  </si>
  <si>
    <t>Legal Fees/Ex Gratia Payments</t>
  </si>
  <si>
    <t>Organisational Change</t>
  </si>
  <si>
    <t xml:space="preserve">Other </t>
  </si>
  <si>
    <t>PNC</t>
  </si>
  <si>
    <t>Vehicle Fleet Financing</t>
  </si>
  <si>
    <t>Income General</t>
  </si>
  <si>
    <t>TOTAL NON DEVOLVED/DELEGATED</t>
  </si>
  <si>
    <t>TOTAL FORCE BUDGET</t>
  </si>
  <si>
    <t>OFFICE OF THE PCC</t>
  </si>
  <si>
    <t>COMMUNITY SAFETY FUND GRANT ( Note 2)</t>
  </si>
  <si>
    <t xml:space="preserve">POLICE OFFICER RECRUITS </t>
  </si>
  <si>
    <t>SAVINGS DELIVERED EARLY /RESERVES</t>
  </si>
  <si>
    <t>ORGANISTIONAL CHANGE</t>
  </si>
  <si>
    <t>INSURANCE</t>
  </si>
  <si>
    <t>CAPITAL</t>
  </si>
  <si>
    <t>GENERAL BALANCES</t>
  </si>
  <si>
    <t>TOTAL BASE BUDGET</t>
  </si>
  <si>
    <t>FUNDED BY</t>
  </si>
  <si>
    <t>CONTRIBUTION FROM BALANCES</t>
  </si>
  <si>
    <t>CONTRIBUTION FROM EARMARKED RESERVES</t>
  </si>
  <si>
    <t>EXTERNAL SUPPORT</t>
  </si>
  <si>
    <t>TOPSLICE FUNDING IPCC</t>
  </si>
  <si>
    <t>COLLECTION FUND SURPLUS/DEFICIT</t>
  </si>
  <si>
    <t>COUNCIL TAX FREEZE GRANT</t>
  </si>
  <si>
    <t>TOTAL FUNDING</t>
  </si>
  <si>
    <t>PRECEPT REQUIREMENT</t>
  </si>
  <si>
    <t>SHORTFALL</t>
  </si>
  <si>
    <t>The Community Safety Fund includes funding for the Drugs Intervention Programme which funds Detention Officers shown in the Police Staff pay budget.</t>
  </si>
  <si>
    <t>Funding for 2013-14  has been agreed at  £1.376m. It is assumed any reduction in funding in future years will be offset by reductions in the Programme.</t>
  </si>
  <si>
    <t>Note 2  The Community Safety Fund is incorporated in the Police Grant for 2014-15</t>
  </si>
  <si>
    <r>
      <t xml:space="preserve">COMMUNITY SAFETY COMMISSIONING </t>
    </r>
    <r>
      <rPr>
        <b/>
        <sz val="10"/>
        <rFont val="Verdana"/>
        <family val="2"/>
      </rPr>
      <t>(NOTE1)</t>
    </r>
  </si>
  <si>
    <t>Last Updated January 2014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</si>
</sst>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0"/>
    <numFmt numFmtId="166" formatCode="0.000"/>
    <numFmt numFmtId="167" formatCode="\ #,###,"/>
    <numFmt numFmtId="168" formatCode="###0;[Red]\-###0"/>
    <numFmt numFmtId="169" formatCode="0.0"/>
    <numFmt numFmtId="170" formatCode="\ #,###.000,"/>
    <numFmt numFmtId="171" formatCode="\ #,###.0000,"/>
    <numFmt numFmtId="172" formatCode="0.0000"/>
    <numFmt numFmtId="173" formatCode="###0.0;\-###0.0"/>
    <numFmt numFmtId="174" formatCode="#,##0;\(#,##0\)"/>
    <numFmt numFmtId="175" formatCode="###0;\-###0"/>
    <numFmt numFmtId="176" formatCode="\ #,###.00,"/>
    <numFmt numFmtId="177" formatCode="\ #,###.00000,"/>
    <numFmt numFmtId="178" formatCode="#,##0.000000000"/>
    <numFmt numFmtId="179" formatCode="#,##0.0000000000"/>
    <numFmt numFmtId="180" formatCode="#,##0.00000000000"/>
    <numFmt numFmtId="181" formatCode="\ #,###.0,"/>
    <numFmt numFmtId="182" formatCode="0.0%"/>
    <numFmt numFmtId="183" formatCode="#,##0.000;\-#,##0.000"/>
    <numFmt numFmtId="184" formatCode="#,##0.000000;\-#,##0.000000"/>
    <numFmt numFmtId="185" formatCode="#,##0_ ;\-#,##0\ "/>
    <numFmt numFmtId="186" formatCode="#,##0;[Red]\(#,##0\)"/>
    <numFmt numFmtId="187" formatCode="#,##0\ ;[Red]\(#,##0\);0\ "/>
    <numFmt numFmtId="188" formatCode="dd/mm/yy"/>
    <numFmt numFmtId="189" formatCode="&quot;£&quot;#,##0.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;[Red]\-#,"/>
    <numFmt numFmtId="197" formatCode="#,##0.000"/>
    <numFmt numFmtId="198" formatCode="0.00000"/>
    <numFmt numFmtId="199" formatCode="_-* #,##0_-;\-* #,##0_-;_-* &quot;-&quot;??_-;_-@_-"/>
    <numFmt numFmtId="200" formatCode="0.00000000"/>
    <numFmt numFmtId="201" formatCode="0.0000000"/>
    <numFmt numFmtId="202" formatCode="0.000000"/>
    <numFmt numFmtId="203" formatCode="0.000%"/>
    <numFmt numFmtId="204" formatCode="0.00000000000000%"/>
    <numFmt numFmtId="205" formatCode="[$-809]dd\ mmmm\ yyyy"/>
    <numFmt numFmtId="206" formatCode="dd\-mmmm"/>
    <numFmt numFmtId="207" formatCode="\ #,###.000000,"/>
    <numFmt numFmtId="208" formatCode="\ #,###.0000000,"/>
    <numFmt numFmtId="209" formatCode="\ #,###.00000000,"/>
    <numFmt numFmtId="210" formatCode="0.000000000"/>
    <numFmt numFmtId="211" formatCode="#,###"/>
    <numFmt numFmtId="212" formatCode="#.0,"/>
    <numFmt numFmtId="213" formatCode="&quot;£&quot;#,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indexed="8"/>
      <name val="Verdana"/>
      <family val="2"/>
    </font>
    <font>
      <b/>
      <u val="double"/>
      <sz val="14"/>
      <name val="Verdana"/>
      <family val="2"/>
    </font>
    <font>
      <b/>
      <sz val="1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23" fillId="0" borderId="0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/>
    </xf>
    <xf numFmtId="167" fontId="24" fillId="0" borderId="0" xfId="0" applyNumberFormat="1" applyFont="1" applyBorder="1" applyAlignment="1">
      <alignment/>
    </xf>
    <xf numFmtId="167" fontId="24" fillId="0" borderId="0" xfId="0" applyNumberFormat="1" applyFont="1" applyBorder="1" applyAlignment="1">
      <alignment horizontal="right"/>
    </xf>
    <xf numFmtId="167" fontId="24" fillId="0" borderId="0" xfId="0" applyNumberFormat="1" applyFont="1" applyAlignment="1">
      <alignment/>
    </xf>
    <xf numFmtId="167" fontId="25" fillId="17" borderId="10" xfId="0" applyNumberFormat="1" applyFont="1" applyFill="1" applyBorder="1" applyAlignment="1">
      <alignment horizontal="centerContinuous" vertical="center"/>
    </xf>
    <xf numFmtId="167" fontId="24" fillId="17" borderId="11" xfId="0" applyNumberFormat="1" applyFont="1" applyFill="1" applyBorder="1" applyAlignment="1">
      <alignment horizontal="centerContinuous" vertical="center"/>
    </xf>
    <xf numFmtId="167" fontId="24" fillId="17" borderId="11" xfId="0" applyNumberFormat="1" applyFont="1" applyFill="1" applyBorder="1" applyAlignment="1">
      <alignment/>
    </xf>
    <xf numFmtId="167" fontId="24" fillId="17" borderId="12" xfId="0" applyNumberFormat="1" applyFont="1" applyFill="1" applyBorder="1" applyAlignment="1">
      <alignment/>
    </xf>
    <xf numFmtId="167" fontId="26" fillId="2" borderId="0" xfId="0" applyNumberFormat="1" applyFont="1" applyFill="1" applyBorder="1" applyAlignment="1">
      <alignment horizontal="centerContinuous"/>
    </xf>
    <xf numFmtId="167" fontId="24" fillId="2" borderId="0" xfId="0" applyNumberFormat="1" applyFont="1" applyFill="1" applyAlignment="1">
      <alignment horizontal="center"/>
    </xf>
    <xf numFmtId="49" fontId="24" fillId="2" borderId="13" xfId="0" applyNumberFormat="1" applyFont="1" applyFill="1" applyBorder="1" applyAlignment="1">
      <alignment horizontal="center"/>
    </xf>
    <xf numFmtId="167" fontId="24" fillId="2" borderId="13" xfId="0" applyNumberFormat="1" applyFont="1" applyFill="1" applyBorder="1" applyAlignment="1">
      <alignment horizontal="center"/>
    </xf>
    <xf numFmtId="167" fontId="24" fillId="2" borderId="0" xfId="0" applyNumberFormat="1" applyFont="1" applyFill="1" applyBorder="1" applyAlignment="1">
      <alignment horizontal="center"/>
    </xf>
    <xf numFmtId="167" fontId="24" fillId="2" borderId="14" xfId="0" applyNumberFormat="1" applyFont="1" applyFill="1" applyBorder="1" applyAlignment="1">
      <alignment horizontal="center"/>
    </xf>
    <xf numFmtId="167" fontId="24" fillId="2" borderId="0" xfId="0" applyNumberFormat="1" applyFont="1" applyFill="1" applyAlignment="1">
      <alignment/>
    </xf>
    <xf numFmtId="167" fontId="24" fillId="2" borderId="15" xfId="0" applyNumberFormat="1" applyFont="1" applyFill="1" applyBorder="1" applyAlignment="1" applyProtection="1">
      <alignment horizontal="center"/>
      <protection locked="0"/>
    </xf>
    <xf numFmtId="167" fontId="24" fillId="2" borderId="15" xfId="0" applyNumberFormat="1" applyFont="1" applyFill="1" applyBorder="1" applyAlignment="1">
      <alignment horizontal="center"/>
    </xf>
    <xf numFmtId="167" fontId="24" fillId="0" borderId="0" xfId="0" applyNumberFormat="1" applyFont="1" applyAlignment="1" applyProtection="1">
      <alignment/>
      <protection locked="0"/>
    </xf>
    <xf numFmtId="167" fontId="27" fillId="2" borderId="16" xfId="0" applyNumberFormat="1" applyFont="1" applyFill="1" applyBorder="1" applyAlignment="1">
      <alignment horizontal="left"/>
    </xf>
    <xf numFmtId="167" fontId="24" fillId="0" borderId="16" xfId="0" applyNumberFormat="1" applyFont="1" applyBorder="1" applyAlignment="1" applyProtection="1">
      <alignment/>
      <protection locked="0"/>
    </xf>
    <xf numFmtId="167" fontId="24" fillId="0" borderId="16" xfId="0" applyNumberFormat="1" applyFont="1" applyBorder="1" applyAlignment="1">
      <alignment/>
    </xf>
    <xf numFmtId="167" fontId="27" fillId="2" borderId="0" xfId="0" applyNumberFormat="1" applyFont="1" applyFill="1" applyBorder="1" applyAlignment="1">
      <alignment horizontal="left"/>
    </xf>
    <xf numFmtId="167" fontId="24" fillId="0" borderId="13" xfId="0" applyNumberFormat="1" applyFont="1" applyBorder="1" applyAlignment="1" applyProtection="1">
      <alignment/>
      <protection locked="0"/>
    </xf>
    <xf numFmtId="167" fontId="24" fillId="0" borderId="13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48" applyNumberFormat="1" applyFont="1" applyBorder="1" applyAlignment="1">
      <alignment horizontal="right"/>
    </xf>
    <xf numFmtId="170" fontId="24" fillId="0" borderId="0" xfId="0" applyNumberFormat="1" applyFont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77" fontId="24" fillId="0" borderId="0" xfId="0" applyNumberFormat="1" applyFont="1" applyBorder="1" applyAlignment="1">
      <alignment/>
    </xf>
    <xf numFmtId="167" fontId="24" fillId="2" borderId="0" xfId="0" applyNumberFormat="1" applyFont="1" applyFill="1" applyBorder="1" applyAlignment="1">
      <alignment horizontal="left"/>
    </xf>
    <xf numFmtId="3" fontId="24" fillId="0" borderId="15" xfId="0" applyNumberFormat="1" applyFont="1" applyBorder="1" applyAlignment="1">
      <alignment/>
    </xf>
    <xf numFmtId="167" fontId="24" fillId="0" borderId="0" xfId="0" applyNumberFormat="1" applyFont="1" applyAlignment="1">
      <alignment horizontal="left"/>
    </xf>
    <xf numFmtId="3" fontId="24" fillId="0" borderId="17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4" fillId="0" borderId="16" xfId="0" applyNumberFormat="1" applyFont="1" applyBorder="1" applyAlignment="1" applyProtection="1">
      <alignment/>
      <protection locked="0"/>
    </xf>
    <xf numFmtId="3" fontId="24" fillId="0" borderId="16" xfId="0" applyNumberFormat="1" applyFont="1" applyBorder="1" applyAlignment="1">
      <alignment/>
    </xf>
    <xf numFmtId="3" fontId="24" fillId="0" borderId="13" xfId="0" applyNumberFormat="1" applyFont="1" applyBorder="1" applyAlignment="1" applyProtection="1">
      <alignment/>
      <protection locked="0"/>
    </xf>
    <xf numFmtId="3" fontId="24" fillId="0" borderId="13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167" fontId="24" fillId="0" borderId="0" xfId="0" applyNumberFormat="1" applyFont="1" applyBorder="1" applyAlignment="1">
      <alignment horizontal="left"/>
    </xf>
    <xf numFmtId="3" fontId="24" fillId="0" borderId="20" xfId="0" applyNumberFormat="1" applyFont="1" applyBorder="1" applyAlignment="1" applyProtection="1">
      <alignment/>
      <protection locked="0"/>
    </xf>
    <xf numFmtId="3" fontId="24" fillId="0" borderId="20" xfId="0" applyNumberFormat="1" applyFont="1" applyBorder="1" applyAlignment="1">
      <alignment/>
    </xf>
    <xf numFmtId="167" fontId="27" fillId="0" borderId="0" xfId="0" applyNumberFormat="1" applyFont="1" applyAlignment="1">
      <alignment horizontal="left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209" fontId="24" fillId="0" borderId="0" xfId="0" applyNumberFormat="1" applyFont="1" applyBorder="1" applyAlignment="1">
      <alignment/>
    </xf>
    <xf numFmtId="3" fontId="24" fillId="0" borderId="14" xfId="0" applyNumberFormat="1" applyFont="1" applyBorder="1" applyAlignment="1" applyProtection="1">
      <alignment/>
      <protection locked="0"/>
    </xf>
    <xf numFmtId="182" fontId="24" fillId="0" borderId="13" xfId="70" applyNumberFormat="1" applyFont="1" applyBorder="1" applyAlignment="1">
      <alignment/>
    </xf>
    <xf numFmtId="197" fontId="24" fillId="0" borderId="13" xfId="0" applyNumberFormat="1" applyFont="1" applyBorder="1" applyAlignment="1">
      <alignment/>
    </xf>
    <xf numFmtId="3" fontId="24" fillId="0" borderId="23" xfId="0" applyNumberFormat="1" applyFont="1" applyBorder="1" applyAlignment="1" applyProtection="1">
      <alignment/>
      <protection locked="0"/>
    </xf>
    <xf numFmtId="182" fontId="24" fillId="0" borderId="0" xfId="70" applyNumberFormat="1" applyFont="1" applyBorder="1" applyAlignment="1">
      <alignment/>
    </xf>
    <xf numFmtId="197" fontId="24" fillId="0" borderId="14" xfId="0" applyNumberFormat="1" applyFont="1" applyBorder="1" applyAlignment="1">
      <alignment/>
    </xf>
    <xf numFmtId="9" fontId="24" fillId="0" borderId="14" xfId="70" applyFont="1" applyBorder="1" applyAlignment="1">
      <alignment/>
    </xf>
    <xf numFmtId="182" fontId="24" fillId="0" borderId="14" xfId="70" applyNumberFormat="1" applyFont="1" applyBorder="1" applyAlignment="1">
      <alignment/>
    </xf>
    <xf numFmtId="0" fontId="22" fillId="0" borderId="0" xfId="0" applyFont="1" applyBorder="1" applyAlignment="1">
      <alignment vertical="top" wrapText="1"/>
    </xf>
    <xf numFmtId="3" fontId="24" fillId="0" borderId="24" xfId="0" applyNumberFormat="1" applyFont="1" applyBorder="1" applyAlignment="1">
      <alignment/>
    </xf>
    <xf numFmtId="3" fontId="24" fillId="0" borderId="15" xfId="0" applyNumberFormat="1" applyFont="1" applyBorder="1" applyAlignment="1" applyProtection="1">
      <alignment/>
      <protection locked="0"/>
    </xf>
    <xf numFmtId="17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0" fontId="24" fillId="0" borderId="0" xfId="70" applyNumberFormat="1" applyFont="1" applyBorder="1" applyAlignment="1">
      <alignment/>
    </xf>
    <xf numFmtId="176" fontId="24" fillId="0" borderId="0" xfId="0" applyNumberFormat="1" applyFont="1" applyBorder="1" applyAlignment="1">
      <alignment/>
    </xf>
  </cellXfs>
  <cellStyles count="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_PA Budget Seminar MTFF Appendices 22 Oct 200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_2012 12 19 Table for CFOs final" xfId="64"/>
    <cellStyle name="Normal 3" xfId="65"/>
    <cellStyle name="Normal 4" xfId="66"/>
    <cellStyle name="Normal 5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yp-infoshare/sites/kbf/Finances/Budgets/BUDGETS2/Budget%20Working%20Papers/Budget%20Wp%202014%20-2015/Budget%20WP%202013-14%20to%202014-15%20%20January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RA\Police\Police%20Finance\33_2013-14%20Settlement\Damping\18%20December\Wales\20121212%20%20Wales%20add%20rule%201%20and%20WTU%20-%20REVIS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RA\Police\Police%20Finance\04_Police%20Allocation%20Formula\02_PFF%20Models\pff2013%20-%20WORKING%20MODEL\20121101%20PFFModel_1314_Pre%20August%20Statement_TJ%20AGREED%20WITH%20DCL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ing"/>
      <sheetName val="Savings Summary"/>
      <sheetName val="MTFF SUMMARY"/>
      <sheetName val="MTFF  New"/>
      <sheetName val="MTFF "/>
      <sheetName val="Chart1"/>
      <sheetName val="Sheet2"/>
      <sheetName val="PF Wp Non Pay Savings Latest"/>
      <sheetName val="People Forecast  Cumulative"/>
      <sheetName val="People Forecast "/>
      <sheetName val="Changes in this version"/>
      <sheetName val="Budget on Sun"/>
      <sheetName val="People "/>
      <sheetName val="Movement Statement "/>
      <sheetName val="Force Budget Analysis "/>
      <sheetName val="SUMMARY BUDGET MOVES "/>
      <sheetName val="SUBJ ANALYSIS SUMMARY"/>
      <sheetName val="DEVOLVED AND DEL INC TRAIN"/>
      <sheetName val="NON DEV NON DEL "/>
      <sheetName val="PENSIONS"/>
      <sheetName val="CSF Grant"/>
      <sheetName val="Final table - as values"/>
      <sheetName val="Sheet1"/>
      <sheetName val="People Forecast  (2)"/>
      <sheetName val="Pay Savings Rec"/>
      <sheetName val="Winsor"/>
      <sheetName val="Staff Movement 31 March 2014"/>
      <sheetName val="PFI Summary 31th May 2012"/>
      <sheetName val="Debt Charges"/>
    </sheetNames>
    <sheetDataSet>
      <sheetData sheetId="0">
        <row r="16">
          <cell r="F16">
            <v>331740.588</v>
          </cell>
          <cell r="G16">
            <v>335549</v>
          </cell>
          <cell r="H16">
            <v>321460.192</v>
          </cell>
          <cell r="I16">
            <v>315357.28816</v>
          </cell>
        </row>
      </sheetData>
      <sheetData sheetId="4">
        <row r="80">
          <cell r="D80">
            <v>-73</v>
          </cell>
          <cell r="J80">
            <v>-77</v>
          </cell>
          <cell r="P80">
            <v>-23</v>
          </cell>
        </row>
        <row r="104">
          <cell r="D104">
            <v>2821</v>
          </cell>
          <cell r="J104">
            <v>1648</v>
          </cell>
          <cell r="P104">
            <v>1680</v>
          </cell>
        </row>
      </sheetData>
      <sheetData sheetId="7">
        <row r="372">
          <cell r="F372">
            <v>100</v>
          </cell>
        </row>
        <row r="373">
          <cell r="F373">
            <v>1000</v>
          </cell>
          <cell r="G373">
            <v>1000</v>
          </cell>
        </row>
        <row r="407">
          <cell r="F407">
            <v>1200</v>
          </cell>
          <cell r="G407">
            <v>1200</v>
          </cell>
        </row>
        <row r="416">
          <cell r="G416">
            <v>720</v>
          </cell>
        </row>
      </sheetData>
      <sheetData sheetId="8">
        <row r="41">
          <cell r="F41">
            <v>-44383.916666666664</v>
          </cell>
          <cell r="G41">
            <v>-58385.041666666664</v>
          </cell>
          <cell r="H41">
            <v>-72377.49999999999</v>
          </cell>
        </row>
        <row r="50">
          <cell r="F50">
            <v>-16839.766666666666</v>
          </cell>
          <cell r="G50">
            <v>-18669.766666666666</v>
          </cell>
          <cell r="H50">
            <v>-20634.766666666666</v>
          </cell>
        </row>
        <row r="64">
          <cell r="F64">
            <v>2090.025</v>
          </cell>
        </row>
        <row r="67">
          <cell r="F67">
            <v>6601.02405</v>
          </cell>
          <cell r="G67">
            <v>10313.420383333334</v>
          </cell>
          <cell r="H67">
            <v>13151.630525000002</v>
          </cell>
        </row>
      </sheetData>
      <sheetData sheetId="9">
        <row r="70">
          <cell r="F70">
            <v>1691.5</v>
          </cell>
          <cell r="G70">
            <v>271</v>
          </cell>
          <cell r="H70">
            <v>-114</v>
          </cell>
        </row>
        <row r="72">
          <cell r="F72">
            <v>573.6</v>
          </cell>
          <cell r="G72">
            <v>0</v>
          </cell>
          <cell r="H72">
            <v>0</v>
          </cell>
        </row>
      </sheetData>
      <sheetData sheetId="15">
        <row r="13">
          <cell r="C13">
            <v>246203.462076429</v>
          </cell>
          <cell r="D13">
            <v>1424.8921579458356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-900</v>
          </cell>
          <cell r="M13">
            <v>-1185.1</v>
          </cell>
          <cell r="N13">
            <v>-2156.7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1012.8178199140617</v>
          </cell>
          <cell r="V13">
            <v>1585</v>
          </cell>
          <cell r="W13">
            <v>-250.1</v>
          </cell>
          <cell r="X13">
            <v>71.7</v>
          </cell>
          <cell r="Y13">
            <v>0</v>
          </cell>
          <cell r="Z13">
            <v>0</v>
          </cell>
          <cell r="AA13">
            <v>0</v>
          </cell>
          <cell r="AB13">
            <v>900</v>
          </cell>
          <cell r="AC13">
            <v>-5483.3</v>
          </cell>
          <cell r="AD13">
            <v>-5982.666666666666</v>
          </cell>
          <cell r="AF13">
            <v>1370.4234129402962</v>
          </cell>
        </row>
        <row r="14">
          <cell r="C14">
            <v>6848.135423868733</v>
          </cell>
          <cell r="D14">
            <v>39.94745663923427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-1000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24.533678668783192</v>
          </cell>
          <cell r="V14">
            <v>0</v>
          </cell>
          <cell r="W14">
            <v>-950</v>
          </cell>
          <cell r="X14">
            <v>140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7.447221708694456</v>
          </cell>
        </row>
        <row r="15">
          <cell r="C15">
            <v>106421.6</v>
          </cell>
          <cell r="D15">
            <v>621.5509166666666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-1600</v>
          </cell>
          <cell r="M15">
            <v>-500</v>
          </cell>
          <cell r="N15">
            <v>-1920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429.26312881944443</v>
          </cell>
          <cell r="V15">
            <v>585.2110091743119</v>
          </cell>
          <cell r="W15">
            <v>0</v>
          </cell>
          <cell r="X15">
            <v>133.3</v>
          </cell>
          <cell r="Y15">
            <v>0</v>
          </cell>
          <cell r="Z15">
            <v>0</v>
          </cell>
          <cell r="AA15">
            <v>0</v>
          </cell>
          <cell r="AB15">
            <v>1600</v>
          </cell>
          <cell r="AC15">
            <v>-1251</v>
          </cell>
          <cell r="AD15">
            <v>-845</v>
          </cell>
          <cell r="AF15">
            <v>604.7703961521859</v>
          </cell>
        </row>
        <row r="16">
          <cell r="C16">
            <v>7314.088</v>
          </cell>
          <cell r="D16">
            <v>42.66551333333334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30.653139638888888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300</v>
          </cell>
          <cell r="AA16">
            <v>0</v>
          </cell>
          <cell r="AB16">
            <v>0</v>
          </cell>
          <cell r="AC16">
            <v>0</v>
          </cell>
          <cell r="AD16">
            <v>-1105</v>
          </cell>
          <cell r="AF16">
            <v>38.39737214233797</v>
          </cell>
        </row>
        <row r="17">
          <cell r="C17">
            <v>1646.6619999999998</v>
          </cell>
          <cell r="D17">
            <v>9.605528333333332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6.901114701388888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-115</v>
          </cell>
          <cell r="AF17">
            <v>9.030983751035878</v>
          </cell>
        </row>
        <row r="19">
          <cell r="C19">
            <v>4218.992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-810</v>
          </cell>
          <cell r="AF19">
            <v>68.17984</v>
          </cell>
        </row>
        <row r="20">
          <cell r="C20">
            <v>7511.244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-161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-300</v>
          </cell>
          <cell r="AF20">
            <v>141.00487999999999</v>
          </cell>
        </row>
        <row r="21">
          <cell r="C21">
            <v>360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7.2</v>
          </cell>
        </row>
        <row r="22">
          <cell r="C22">
            <v>2.102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0.04204</v>
          </cell>
        </row>
        <row r="23">
          <cell r="C23">
            <v>1259.898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25.197960000000002</v>
          </cell>
        </row>
        <row r="24">
          <cell r="C24">
            <v>568.65096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11.373019200000002</v>
          </cell>
        </row>
        <row r="25">
          <cell r="C25">
            <v>12646.305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-332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44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-316</v>
          </cell>
          <cell r="AF25">
            <v>216.60996</v>
          </cell>
        </row>
        <row r="26">
          <cell r="C26">
            <v>2437.1780000000003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-70</v>
          </cell>
          <cell r="AF26">
            <v>66.96367000000001</v>
          </cell>
        </row>
        <row r="27">
          <cell r="C27">
            <v>2592.94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-300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300</v>
          </cell>
          <cell r="AC27">
            <v>0</v>
          </cell>
          <cell r="AD27">
            <v>0</v>
          </cell>
          <cell r="AF27">
            <v>51.8588</v>
          </cell>
        </row>
        <row r="28">
          <cell r="C28">
            <v>10743.735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-300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300</v>
          </cell>
          <cell r="AC28">
            <v>0</v>
          </cell>
          <cell r="AD28">
            <v>-700</v>
          </cell>
          <cell r="AF28">
            <v>336.27722500000004</v>
          </cell>
        </row>
        <row r="29">
          <cell r="C29">
            <v>4795.842000000001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-300</v>
          </cell>
          <cell r="AF29">
            <v>441.41035999999997</v>
          </cell>
        </row>
        <row r="30">
          <cell r="C30">
            <v>275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5.5</v>
          </cell>
        </row>
        <row r="31">
          <cell r="C31">
            <v>1609.35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-150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150</v>
          </cell>
          <cell r="AC31">
            <v>0</v>
          </cell>
          <cell r="AD31">
            <v>-300</v>
          </cell>
          <cell r="AF31">
            <v>0</v>
          </cell>
        </row>
        <row r="32">
          <cell r="C32">
            <v>12473.511000000002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-200</v>
          </cell>
          <cell r="M32">
            <v>0</v>
          </cell>
          <cell r="N32">
            <v>-353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</v>
          </cell>
          <cell r="AC32">
            <v>0</v>
          </cell>
          <cell r="AD32">
            <v>-470</v>
          </cell>
          <cell r="AF32">
            <v>233.415748</v>
          </cell>
        </row>
        <row r="33">
          <cell r="C33">
            <v>236.198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50</v>
          </cell>
          <cell r="AC33">
            <v>0</v>
          </cell>
          <cell r="AD33">
            <v>0</v>
          </cell>
          <cell r="AF33">
            <v>0</v>
          </cell>
        </row>
        <row r="34">
          <cell r="C34">
            <v>242.176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>
            <v>0</v>
          </cell>
        </row>
        <row r="35">
          <cell r="C35">
            <v>70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1.4000000000000001</v>
          </cell>
        </row>
        <row r="36">
          <cell r="C36">
            <v>131.329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</row>
        <row r="37">
          <cell r="C37">
            <v>3055.263999999999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-230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230</v>
          </cell>
          <cell r="AC37">
            <v>0</v>
          </cell>
          <cell r="AD37">
            <v>-4</v>
          </cell>
          <cell r="AF37">
            <v>10.796539999999998</v>
          </cell>
        </row>
        <row r="38">
          <cell r="C38">
            <v>1015.741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0</v>
          </cell>
        </row>
        <row r="39">
          <cell r="C39">
            <v>544.9259999999999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-50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50</v>
          </cell>
          <cell r="AC39">
            <v>0</v>
          </cell>
          <cell r="AD39">
            <v>0</v>
          </cell>
          <cell r="AF39">
            <v>0</v>
          </cell>
        </row>
        <row r="40">
          <cell r="C40">
            <v>351.701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-50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50</v>
          </cell>
          <cell r="AC40">
            <v>0</v>
          </cell>
          <cell r="AD40">
            <v>0</v>
          </cell>
          <cell r="AF40">
            <v>0</v>
          </cell>
        </row>
        <row r="41">
          <cell r="C41">
            <v>684.2090000000001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0</v>
          </cell>
        </row>
        <row r="42">
          <cell r="C42">
            <v>176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3.52</v>
          </cell>
        </row>
        <row r="43">
          <cell r="C43">
            <v>529.571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10.591420000000001</v>
          </cell>
        </row>
        <row r="44">
          <cell r="C44">
            <v>1726.884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-45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33.637679999999996</v>
          </cell>
        </row>
        <row r="45">
          <cell r="C45">
            <v>1612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24.365</v>
          </cell>
        </row>
        <row r="46">
          <cell r="C46">
            <v>448.886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779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30.69715</v>
          </cell>
        </row>
        <row r="47">
          <cell r="C47">
            <v>15229.362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152.29362</v>
          </cell>
        </row>
        <row r="48">
          <cell r="C48">
            <v>1193.865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-150</v>
          </cell>
          <cell r="AF48">
            <v>0.28</v>
          </cell>
        </row>
        <row r="49">
          <cell r="C49">
            <v>15960.005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0.010833333333333335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-750</v>
          </cell>
          <cell r="AF49">
            <v>166.21420666666666</v>
          </cell>
        </row>
        <row r="50">
          <cell r="C50">
            <v>-76034.12099999998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-500</v>
          </cell>
          <cell r="M50">
            <v>0</v>
          </cell>
          <cell r="N50">
            <v>-315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34</v>
          </cell>
          <cell r="Y50">
            <v>0</v>
          </cell>
          <cell r="Z50">
            <v>0</v>
          </cell>
          <cell r="AA50">
            <v>0</v>
          </cell>
          <cell r="AB50">
            <v>500</v>
          </cell>
          <cell r="AC50">
            <v>-335</v>
          </cell>
          <cell r="AD50">
            <v>-250</v>
          </cell>
          <cell r="AF50">
            <v>-486.8301615000001</v>
          </cell>
        </row>
        <row r="59">
          <cell r="C59">
            <v>6006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1675</v>
          </cell>
          <cell r="Y59">
            <v>850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158.27933333333334</v>
          </cell>
        </row>
        <row r="62">
          <cell r="C62">
            <v>9610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-940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-23</v>
          </cell>
          <cell r="AF62">
            <v>0</v>
          </cell>
        </row>
        <row r="63">
          <cell r="C63">
            <v>500</v>
          </cell>
          <cell r="E63">
            <v>10356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-10356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</row>
        <row r="64">
          <cell r="C64">
            <v>208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4.16</v>
          </cell>
        </row>
        <row r="65">
          <cell r="C65">
            <v>1720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84.17</v>
          </cell>
        </row>
        <row r="66">
          <cell r="C66">
            <v>135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2.7</v>
          </cell>
        </row>
        <row r="67">
          <cell r="C67">
            <v>805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16.1</v>
          </cell>
        </row>
        <row r="68">
          <cell r="C68">
            <v>131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2.62</v>
          </cell>
        </row>
        <row r="69">
          <cell r="C69">
            <v>1150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-1150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C70">
            <v>17707.652000000002</v>
          </cell>
          <cell r="D70">
            <v>-2138.6615729184036</v>
          </cell>
          <cell r="E70">
            <v>-10356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-500</v>
          </cell>
          <cell r="M70">
            <v>0</v>
          </cell>
          <cell r="N70">
            <v>-2344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10706</v>
          </cell>
          <cell r="Y70">
            <v>675</v>
          </cell>
          <cell r="Z70">
            <v>0</v>
          </cell>
          <cell r="AA70">
            <v>-400</v>
          </cell>
          <cell r="AB70">
            <v>500</v>
          </cell>
          <cell r="AC70">
            <v>-10356</v>
          </cell>
          <cell r="AD70">
            <v>-433</v>
          </cell>
          <cell r="AF70">
            <v>13.92</v>
          </cell>
        </row>
        <row r="71">
          <cell r="C71">
            <v>2127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245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118.60000000000001</v>
          </cell>
        </row>
        <row r="72">
          <cell r="C72">
            <v>-2720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</row>
        <row r="73">
          <cell r="C73">
            <v>-18508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-38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85</v>
          </cell>
          <cell r="Y73">
            <v>14422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157</v>
          </cell>
          <cell r="AF73">
            <v>-28.98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GR and WTU 13-14"/>
      <sheetName val="13-14 (12 Dec))"/>
      <sheetName val="SSA 13-14 (12 Dec)"/>
      <sheetName val="PAF Output 12 Dec 2013-14"/>
      <sheetName val="12-13 Basline"/>
      <sheetName val="WG 13-14 (11 Dec)  formatted"/>
      <sheetName val="WG  13-14 (12 Dec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lcome Sheet"/>
      <sheetName val="Version History"/>
      <sheetName val="ABC - Activity Weights"/>
      <sheetName val="Monetary Control totals"/>
      <sheetName val="Variable Data"/>
      <sheetName val="updated var data"/>
      <sheetName val="Regression Coeffs"/>
      <sheetName val="Workload - Crime"/>
      <sheetName val="Workload - Incidents"/>
      <sheetName val="Workload - FOC"/>
      <sheetName val="Workload - Traffic"/>
      <sheetName val="Workload - Special Events"/>
      <sheetName val="Sparsity Top Up"/>
      <sheetName val="Workload - Security"/>
      <sheetName val="Coeffs Step1"/>
      <sheetName val="Allocations Step1"/>
      <sheetName val="Coeffs Step2"/>
      <sheetName val="Allocations Step2"/>
      <sheetName val="Allocations_Police Grant Report"/>
      <sheetName val="Coefficients_PG Report"/>
    </sheetNames>
    <sheetDataSet>
      <sheetData sheetId="3">
        <row r="19">
          <cell r="B19">
            <v>10000000000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142"/>
  <sheetViews>
    <sheetView tabSelected="1" zoomScale="60" zoomScaleNormal="60" workbookViewId="0" topLeftCell="A1">
      <pane xSplit="1" ySplit="11" topLeftCell="E6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P97" sqref="P97"/>
    </sheetView>
  </sheetViews>
  <sheetFormatPr defaultColWidth="9.140625" defaultRowHeight="12.75"/>
  <cols>
    <col min="1" max="1" width="72.00390625" style="5" customWidth="1"/>
    <col min="2" max="2" width="20.00390625" style="3" bestFit="1" customWidth="1"/>
    <col min="3" max="3" width="4.00390625" style="3" customWidth="1"/>
    <col min="4" max="4" width="14.28125" style="3" customWidth="1"/>
    <col min="5" max="5" width="4.57421875" style="3" customWidth="1"/>
    <col min="6" max="6" width="15.28125" style="3" customWidth="1"/>
    <col min="7" max="7" width="3.57421875" style="3" customWidth="1"/>
    <col min="8" max="8" width="20.140625" style="3" customWidth="1"/>
    <col min="9" max="9" width="5.57421875" style="3" customWidth="1"/>
    <col min="10" max="10" width="20.140625" style="3" customWidth="1"/>
    <col min="11" max="11" width="3.57421875" style="3" bestFit="1" customWidth="1"/>
    <col min="12" max="12" width="15.140625" style="3" bestFit="1" customWidth="1"/>
    <col min="13" max="13" width="3.57421875" style="3" bestFit="1" customWidth="1"/>
    <col min="14" max="14" width="20.00390625" style="3" bestFit="1" customWidth="1"/>
    <col min="15" max="15" width="3.57421875" style="3" bestFit="1" customWidth="1"/>
    <col min="16" max="16" width="20.7109375" style="3" customWidth="1"/>
    <col min="17" max="17" width="3.57421875" style="3" bestFit="1" customWidth="1"/>
    <col min="18" max="18" width="18.8515625" style="3" customWidth="1"/>
    <col min="19" max="19" width="3.57421875" style="3" customWidth="1"/>
    <col min="20" max="20" width="17.28125" style="3" bestFit="1" customWidth="1"/>
    <col min="21" max="21" width="3.57421875" style="3" bestFit="1" customWidth="1"/>
    <col min="22" max="22" width="20.00390625" style="3" bestFit="1" customWidth="1"/>
    <col min="23" max="23" width="3.57421875" style="3" bestFit="1" customWidth="1"/>
    <col min="24" max="24" width="21.00390625" style="3" customWidth="1"/>
    <col min="25" max="25" width="3.57421875" style="3" bestFit="1" customWidth="1"/>
    <col min="26" max="26" width="16.7109375" style="3" customWidth="1"/>
    <col min="27" max="27" width="3.57421875" style="3" customWidth="1"/>
    <col min="28" max="28" width="16.28125" style="3" bestFit="1" customWidth="1"/>
    <col min="29" max="29" width="3.57421875" style="3" bestFit="1" customWidth="1"/>
    <col min="30" max="30" width="20.7109375" style="3" customWidth="1"/>
    <col min="31" max="31" width="3.421875" style="3" customWidth="1"/>
    <col min="32" max="32" width="20.28125" style="3" hidden="1" customWidth="1"/>
    <col min="33" max="33" width="4.421875" style="3" hidden="1" customWidth="1"/>
    <col min="34" max="34" width="15.140625" style="3" hidden="1" customWidth="1"/>
    <col min="35" max="35" width="4.8515625" style="3" hidden="1" customWidth="1"/>
    <col min="36" max="36" width="19.00390625" style="3" hidden="1" customWidth="1"/>
    <col min="37" max="37" width="19.421875" style="3" bestFit="1" customWidth="1"/>
    <col min="38" max="38" width="21.140625" style="3" bestFit="1" customWidth="1"/>
    <col min="39" max="16384" width="9.140625" style="3" customWidth="1"/>
  </cols>
  <sheetData>
    <row r="1" spans="1:30" ht="18">
      <c r="A1" s="2" t="s">
        <v>101</v>
      </c>
      <c r="AD1" s="4" t="s">
        <v>0</v>
      </c>
    </row>
    <row r="2" spans="1:22" ht="24" customHeight="1" thickBot="1">
      <c r="A2" s="5" t="s">
        <v>0</v>
      </c>
      <c r="V2" s="4"/>
    </row>
    <row r="3" spans="2:36" ht="78" customHeight="1" thickBot="1">
      <c r="B3" s="6" t="s">
        <v>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8"/>
      <c r="AH3" s="8"/>
      <c r="AI3" s="8"/>
      <c r="AJ3" s="9"/>
    </row>
    <row r="5" ht="1.5" customHeight="1" thickBot="1">
      <c r="A5" s="10"/>
    </row>
    <row r="6" spans="1:36" ht="18">
      <c r="A6" s="11"/>
      <c r="B6" s="12" t="s">
        <v>7</v>
      </c>
      <c r="C6" s="11"/>
      <c r="D6" s="12" t="s">
        <v>8</v>
      </c>
      <c r="E6" s="11"/>
      <c r="F6" s="12" t="s">
        <v>7</v>
      </c>
      <c r="G6" s="11"/>
      <c r="H6" s="13" t="s">
        <v>9</v>
      </c>
      <c r="I6" s="14"/>
      <c r="J6" s="12" t="s">
        <v>8</v>
      </c>
      <c r="K6" s="14"/>
      <c r="L6" s="13" t="s">
        <v>10</v>
      </c>
      <c r="N6" s="12" t="s">
        <v>11</v>
      </c>
      <c r="O6" s="11"/>
      <c r="P6" s="13" t="s">
        <v>9</v>
      </c>
      <c r="Q6" s="14"/>
      <c r="R6" s="12" t="s">
        <v>8</v>
      </c>
      <c r="S6" s="14"/>
      <c r="T6" s="13" t="s">
        <v>10</v>
      </c>
      <c r="V6" s="12" t="s">
        <v>12</v>
      </c>
      <c r="W6" s="11"/>
      <c r="X6" s="13" t="s">
        <v>9</v>
      </c>
      <c r="Y6" s="14"/>
      <c r="Z6" s="12" t="s">
        <v>8</v>
      </c>
      <c r="AA6" s="14"/>
      <c r="AB6" s="13" t="s">
        <v>10</v>
      </c>
      <c r="AD6" s="12" t="s">
        <v>13</v>
      </c>
      <c r="AF6" s="13" t="s">
        <v>9</v>
      </c>
      <c r="AG6" s="14"/>
      <c r="AH6" s="13" t="s">
        <v>10</v>
      </c>
      <c r="AJ6" s="12" t="s">
        <v>14</v>
      </c>
    </row>
    <row r="7" spans="1:36" ht="18">
      <c r="A7" s="11"/>
      <c r="B7" s="15" t="s">
        <v>15</v>
      </c>
      <c r="C7" s="11"/>
      <c r="D7" s="15"/>
      <c r="E7" s="11"/>
      <c r="F7" s="15" t="s">
        <v>16</v>
      </c>
      <c r="G7" s="11"/>
      <c r="H7" s="15" t="s">
        <v>0</v>
      </c>
      <c r="I7" s="14"/>
      <c r="J7" s="15"/>
      <c r="K7" s="14"/>
      <c r="L7" s="15" t="s">
        <v>17</v>
      </c>
      <c r="N7" s="15" t="s">
        <v>15</v>
      </c>
      <c r="O7" s="11"/>
      <c r="P7" s="15" t="s">
        <v>0</v>
      </c>
      <c r="Q7" s="14"/>
      <c r="R7" s="15"/>
      <c r="S7" s="14"/>
      <c r="T7" s="15" t="s">
        <v>17</v>
      </c>
      <c r="V7" s="15" t="s">
        <v>15</v>
      </c>
      <c r="W7" s="11"/>
      <c r="X7" s="15" t="s">
        <v>0</v>
      </c>
      <c r="Y7" s="14"/>
      <c r="Z7" s="15"/>
      <c r="AA7" s="14"/>
      <c r="AB7" s="15" t="s">
        <v>17</v>
      </c>
      <c r="AD7" s="15" t="s">
        <v>15</v>
      </c>
      <c r="AF7" s="15" t="s">
        <v>0</v>
      </c>
      <c r="AG7" s="14"/>
      <c r="AH7" s="15" t="s">
        <v>17</v>
      </c>
      <c r="AJ7" s="15" t="s">
        <v>15</v>
      </c>
    </row>
    <row r="8" spans="1:36" ht="18">
      <c r="A8" s="11"/>
      <c r="B8" s="15" t="s">
        <v>18</v>
      </c>
      <c r="C8" s="11"/>
      <c r="D8" s="15"/>
      <c r="E8" s="11"/>
      <c r="F8" s="15" t="s">
        <v>19</v>
      </c>
      <c r="G8" s="11"/>
      <c r="H8" s="15"/>
      <c r="I8" s="14"/>
      <c r="J8" s="15"/>
      <c r="K8" s="14"/>
      <c r="L8" s="15"/>
      <c r="N8" s="15" t="s">
        <v>18</v>
      </c>
      <c r="O8" s="11"/>
      <c r="P8" s="15"/>
      <c r="Q8" s="14"/>
      <c r="R8" s="15"/>
      <c r="S8" s="14"/>
      <c r="T8" s="15"/>
      <c r="V8" s="15" t="s">
        <v>18</v>
      </c>
      <c r="W8" s="11"/>
      <c r="X8" s="15"/>
      <c r="Y8" s="14"/>
      <c r="Z8" s="15"/>
      <c r="AA8" s="14"/>
      <c r="AB8" s="15"/>
      <c r="AD8" s="15" t="s">
        <v>18</v>
      </c>
      <c r="AF8" s="15"/>
      <c r="AG8" s="14"/>
      <c r="AH8" s="15"/>
      <c r="AJ8" s="15" t="s">
        <v>18</v>
      </c>
    </row>
    <row r="9" spans="1:36" ht="18.75" thickBot="1">
      <c r="A9" s="16"/>
      <c r="B9" s="17" t="s">
        <v>1</v>
      </c>
      <c r="C9" s="16"/>
      <c r="D9" s="18" t="s">
        <v>1</v>
      </c>
      <c r="E9" s="16"/>
      <c r="F9" s="17" t="s">
        <v>1</v>
      </c>
      <c r="G9" s="16"/>
      <c r="H9" s="18" t="s">
        <v>1</v>
      </c>
      <c r="I9" s="14"/>
      <c r="J9" s="18" t="s">
        <v>1</v>
      </c>
      <c r="K9" s="14"/>
      <c r="L9" s="18" t="s">
        <v>1</v>
      </c>
      <c r="N9" s="17" t="s">
        <v>1</v>
      </c>
      <c r="O9" s="16"/>
      <c r="P9" s="18" t="s">
        <v>1</v>
      </c>
      <c r="Q9" s="14"/>
      <c r="R9" s="18" t="s">
        <v>1</v>
      </c>
      <c r="S9" s="14"/>
      <c r="T9" s="18" t="s">
        <v>1</v>
      </c>
      <c r="V9" s="17" t="s">
        <v>1</v>
      </c>
      <c r="W9" s="16"/>
      <c r="X9" s="18" t="s">
        <v>1</v>
      </c>
      <c r="Y9" s="14"/>
      <c r="Z9" s="18" t="s">
        <v>1</v>
      </c>
      <c r="AA9" s="14"/>
      <c r="AB9" s="18" t="s">
        <v>1</v>
      </c>
      <c r="AD9" s="17" t="s">
        <v>1</v>
      </c>
      <c r="AF9" s="18" t="s">
        <v>1</v>
      </c>
      <c r="AG9" s="14"/>
      <c r="AH9" s="18" t="s">
        <v>1</v>
      </c>
      <c r="AJ9" s="17" t="s">
        <v>1</v>
      </c>
    </row>
    <row r="10" spans="2:36" ht="8.25" customHeight="1" thickBot="1">
      <c r="B10" s="19"/>
      <c r="C10" s="5"/>
      <c r="D10" s="19"/>
      <c r="E10" s="5"/>
      <c r="F10" s="19"/>
      <c r="G10" s="5"/>
      <c r="H10" s="5"/>
      <c r="I10" s="5"/>
      <c r="J10" s="19"/>
      <c r="K10" s="5"/>
      <c r="N10" s="19"/>
      <c r="O10" s="5"/>
      <c r="P10" s="5"/>
      <c r="Q10" s="5"/>
      <c r="R10" s="19"/>
      <c r="S10" s="5"/>
      <c r="V10" s="19"/>
      <c r="W10" s="5"/>
      <c r="X10" s="5"/>
      <c r="Y10" s="5"/>
      <c r="Z10" s="19"/>
      <c r="AA10" s="5"/>
      <c r="AD10" s="19"/>
      <c r="AF10" s="5"/>
      <c r="AG10" s="5"/>
      <c r="AJ10" s="19"/>
    </row>
    <row r="11" spans="1:36" ht="18.75" thickBot="1">
      <c r="A11" s="20" t="s">
        <v>20</v>
      </c>
      <c r="B11" s="21"/>
      <c r="C11" s="5"/>
      <c r="D11" s="21"/>
      <c r="E11" s="5"/>
      <c r="F11" s="21"/>
      <c r="G11" s="5"/>
      <c r="H11" s="22"/>
      <c r="J11" s="21"/>
      <c r="K11" s="5"/>
      <c r="L11" s="22"/>
      <c r="N11" s="21"/>
      <c r="O11" s="5"/>
      <c r="P11" s="22"/>
      <c r="Q11" s="5"/>
      <c r="R11" s="21"/>
      <c r="S11" s="5"/>
      <c r="T11" s="22"/>
      <c r="V11" s="21"/>
      <c r="W11" s="5"/>
      <c r="X11" s="22"/>
      <c r="Y11" s="5"/>
      <c r="Z11" s="21"/>
      <c r="AA11" s="5"/>
      <c r="AB11" s="22"/>
      <c r="AD11" s="21"/>
      <c r="AF11" s="22"/>
      <c r="AG11" s="5"/>
      <c r="AH11" s="22"/>
      <c r="AJ11" s="21"/>
    </row>
    <row r="12" spans="1:36" ht="18">
      <c r="A12" s="23"/>
      <c r="B12" s="24"/>
      <c r="C12" s="5"/>
      <c r="D12" s="24"/>
      <c r="E12" s="5"/>
      <c r="F12" s="24"/>
      <c r="G12" s="5"/>
      <c r="H12" s="25"/>
      <c r="J12" s="24"/>
      <c r="K12" s="5"/>
      <c r="L12" s="25"/>
      <c r="N12" s="24"/>
      <c r="O12" s="5"/>
      <c r="P12" s="25"/>
      <c r="Q12" s="5"/>
      <c r="R12" s="24"/>
      <c r="S12" s="5"/>
      <c r="T12" s="25"/>
      <c r="V12" s="24"/>
      <c r="W12" s="5"/>
      <c r="X12" s="25"/>
      <c r="Y12" s="5"/>
      <c r="Z12" s="24"/>
      <c r="AA12" s="5"/>
      <c r="AB12" s="25"/>
      <c r="AD12" s="24"/>
      <c r="AF12" s="25"/>
      <c r="AG12" s="5"/>
      <c r="AH12" s="25"/>
      <c r="AJ12" s="24"/>
    </row>
    <row r="13" spans="1:37" ht="18">
      <c r="A13" s="5" t="s">
        <v>21</v>
      </c>
      <c r="B13" s="26">
        <f>'[1]SUMMARY BUDGET MOVES '!C13+'[1]SUMMARY BUDGET MOVES '!D13+'[1]SUMMARY BUDGET MOVES '!E13</f>
        <v>247628.35423437483</v>
      </c>
      <c r="C13" s="27"/>
      <c r="D13" s="26">
        <f>SUM('[1]SUMMARY BUDGET MOVES '!F13:N13)</f>
        <v>-4241.799999999999</v>
      </c>
      <c r="E13" s="27"/>
      <c r="F13" s="26">
        <f>B13+D13</f>
        <v>243386.55423437484</v>
      </c>
      <c r="G13" s="27"/>
      <c r="H13" s="26">
        <f>SUM('[1]SUMMARY BUDGET MOVES '!P13:S13)+SUM('[1]SUMMARY BUDGET MOVES '!X13:AA13)+'[1]SUMMARY BUDGET MOVES '!V13</f>
        <v>1656.7</v>
      </c>
      <c r="I13" s="27"/>
      <c r="J13" s="26">
        <f>SUM('[1]SUMMARY BUDGET MOVES '!AB13:AD13)+'[1]SUMMARY BUDGET MOVES '!W13</f>
        <v>-10816.066666666668</v>
      </c>
      <c r="K13" s="28"/>
      <c r="L13" s="26">
        <f>'[1]SUMMARY BUDGET MOVES '!AF13+'[1]SUMMARY BUDGET MOVES '!U13</f>
        <v>2383.241232854358</v>
      </c>
      <c r="M13" s="27"/>
      <c r="N13" s="26">
        <f aca="true" t="shared" si="0" ref="N13:N51">SUM(F13:L13)</f>
        <v>236610.4288005625</v>
      </c>
      <c r="O13" s="27"/>
      <c r="P13" s="26">
        <v>5018</v>
      </c>
      <c r="Q13" s="28"/>
      <c r="R13" s="26">
        <f>'[1]People Forecast  Cumulative'!G41-'[1]People Forecast  Cumulative'!F41</f>
        <v>-14001.125</v>
      </c>
      <c r="S13" s="28"/>
      <c r="T13" s="26">
        <f>(((N13+P13)*(1%/12*5)+((N13+P13)*(1%/12*5)+(N13+P13))*1%/12*7))</f>
        <v>2422.1572012056386</v>
      </c>
      <c r="U13" s="27"/>
      <c r="V13" s="26">
        <f aca="true" t="shared" si="1" ref="V13:V51">SUM(N13:T13)</f>
        <v>230049.46100176816</v>
      </c>
      <c r="W13" s="27"/>
      <c r="X13" s="26">
        <f>5600+6345</f>
        <v>11945</v>
      </c>
      <c r="Y13" s="28"/>
      <c r="Z13" s="26">
        <f>'[1]People Forecast  Cumulative'!H41-'[1]People Forecast  Cumulative'!G41</f>
        <v>-13992.458333333321</v>
      </c>
      <c r="AA13" s="28"/>
      <c r="AB13" s="26">
        <f>(((V13+X13)*(1%/12*5)+((V13+X13)*(1%/12*5)+(V13+X13))*2%/12*7))</f>
        <v>3843.3425854933594</v>
      </c>
      <c r="AC13" s="27"/>
      <c r="AD13" s="26">
        <f aca="true" t="shared" si="2" ref="AD13:AD51">SUM(V13:AB13)</f>
        <v>231845.34525392822</v>
      </c>
      <c r="AE13" s="29"/>
      <c r="AF13" s="26">
        <f>2900</f>
        <v>2900</v>
      </c>
      <c r="AG13" s="28"/>
      <c r="AH13" s="26">
        <f>(((AD13+AF13)*(2%/12*5)+((AD13+AF13)*(2%/12*5)+(AD13+AF13))*2%/12*7))</f>
        <v>4717.729369200474</v>
      </c>
      <c r="AI13" s="27"/>
      <c r="AJ13" s="26">
        <f aca="true" t="shared" si="3" ref="AJ13:AJ51">SUM(AD13:AH13)</f>
        <v>239463.0746231287</v>
      </c>
      <c r="AK13" s="29"/>
    </row>
    <row r="14" spans="1:37" ht="18">
      <c r="A14" s="5" t="s">
        <v>22</v>
      </c>
      <c r="B14" s="26">
        <f>'[1]SUMMARY BUDGET MOVES '!C14+'[1]SUMMARY BUDGET MOVES '!D14+'[1]SUMMARY BUDGET MOVES '!E14</f>
        <v>6888.082880507967</v>
      </c>
      <c r="C14" s="27"/>
      <c r="D14" s="26">
        <f>SUM('[1]SUMMARY BUDGET MOVES '!F14:N14)</f>
        <v>-1000</v>
      </c>
      <c r="E14" s="27"/>
      <c r="F14" s="26">
        <f>B14+D14</f>
        <v>5888.082880507967</v>
      </c>
      <c r="G14" s="27"/>
      <c r="H14" s="26">
        <f>SUM('[1]SUMMARY BUDGET MOVES '!P14:S14)+SUM('[1]SUMMARY BUDGET MOVES '!X14:AA14)+'[1]SUMMARY BUDGET MOVES '!V14</f>
        <v>140</v>
      </c>
      <c r="I14" s="27"/>
      <c r="J14" s="26">
        <f>SUM('[1]SUMMARY BUDGET MOVES '!AB14:AD14)+'[1]SUMMARY BUDGET MOVES '!W14</f>
        <v>-950</v>
      </c>
      <c r="K14" s="28"/>
      <c r="L14" s="26">
        <f>'[1]SUMMARY BUDGET MOVES '!AF14+'[1]SUMMARY BUDGET MOVES '!U14</f>
        <v>31.98090037747765</v>
      </c>
      <c r="M14" s="27"/>
      <c r="N14" s="26">
        <f t="shared" si="0"/>
        <v>5110.063780885445</v>
      </c>
      <c r="O14" s="27"/>
      <c r="P14" s="26">
        <v>0</v>
      </c>
      <c r="Q14" s="28"/>
      <c r="R14" s="26">
        <f>'[1]PF Wp Non Pay Savings Latest'!F407*-1</f>
        <v>-1200</v>
      </c>
      <c r="S14" s="28"/>
      <c r="T14" s="26">
        <v>0</v>
      </c>
      <c r="U14" s="27"/>
      <c r="V14" s="26">
        <f t="shared" si="1"/>
        <v>3910.0637808854453</v>
      </c>
      <c r="W14" s="27"/>
      <c r="X14" s="26">
        <v>0</v>
      </c>
      <c r="Y14" s="28"/>
      <c r="Z14" s="26">
        <f>'[1]PF Wp Non Pay Savings Latest'!G407*-1</f>
        <v>-1200</v>
      </c>
      <c r="AA14" s="28"/>
      <c r="AB14" s="26">
        <f>T14*1.01</f>
        <v>0</v>
      </c>
      <c r="AC14" s="27"/>
      <c r="AD14" s="26">
        <f t="shared" si="2"/>
        <v>2710.0637808854453</v>
      </c>
      <c r="AE14" s="29"/>
      <c r="AF14" s="26">
        <v>0</v>
      </c>
      <c r="AG14" s="28"/>
      <c r="AH14" s="26">
        <f>AB14*1.02</f>
        <v>0</v>
      </c>
      <c r="AI14" s="27"/>
      <c r="AJ14" s="26">
        <f t="shared" si="3"/>
        <v>2710.0637808854453</v>
      </c>
      <c r="AK14" s="29"/>
    </row>
    <row r="15" spans="1:37" ht="18">
      <c r="A15" s="5" t="s">
        <v>23</v>
      </c>
      <c r="B15" s="26">
        <f>'[1]SUMMARY BUDGET MOVES '!C15+'[1]SUMMARY BUDGET MOVES '!D15+'[1]SUMMARY BUDGET MOVES '!E15</f>
        <v>107043.15091666667</v>
      </c>
      <c r="C15" s="27"/>
      <c r="D15" s="26">
        <f>SUM('[1]SUMMARY BUDGET MOVES '!F15:N15)</f>
        <v>-4020</v>
      </c>
      <c r="E15" s="27"/>
      <c r="F15" s="26">
        <f>B15+D15</f>
        <v>103023.15091666667</v>
      </c>
      <c r="G15" s="27"/>
      <c r="H15" s="30">
        <f>SUM('[1]SUMMARY BUDGET MOVES '!P15:S15)+SUM('[1]SUMMARY BUDGET MOVES '!X15:AA15)+'[1]SUMMARY BUDGET MOVES '!V15</f>
        <v>718.511009174312</v>
      </c>
      <c r="I15" s="31"/>
      <c r="J15" s="26">
        <f>SUM('[1]SUMMARY BUDGET MOVES '!AB15:AD15)+'[1]SUMMARY BUDGET MOVES '!W15</f>
        <v>-496</v>
      </c>
      <c r="K15" s="28"/>
      <c r="L15" s="26">
        <f>'[1]SUMMARY BUDGET MOVES '!AF15+'[1]SUMMARY BUDGET MOVES '!U15</f>
        <v>1034.0335249716304</v>
      </c>
      <c r="M15" s="27"/>
      <c r="N15" s="26">
        <f t="shared" si="0"/>
        <v>104279.69545081261</v>
      </c>
      <c r="O15" s="27"/>
      <c r="P15" s="30">
        <v>800</v>
      </c>
      <c r="Q15" s="28"/>
      <c r="R15" s="26">
        <f>'[1]People Forecast  Cumulative'!G50-'[1]People Forecast  Cumulative'!F50</f>
        <v>-1830</v>
      </c>
      <c r="S15" s="28"/>
      <c r="T15" s="26">
        <f>(((N15+P15)*(1%/12*5)+((N15+P15)*(1%/12*5)+(N15+P15))*1%/12*7))</f>
        <v>1053.3509748836666</v>
      </c>
      <c r="U15" s="27"/>
      <c r="V15" s="26">
        <f t="shared" si="1"/>
        <v>104303.04642569627</v>
      </c>
      <c r="W15" s="27"/>
      <c r="X15" s="30">
        <f>800+3121</f>
        <v>3921</v>
      </c>
      <c r="Y15" s="28"/>
      <c r="Z15" s="26">
        <f>'[1]People Forecast  Cumulative'!H50-'[1]People Forecast  Cumulative'!G50</f>
        <v>-1965</v>
      </c>
      <c r="AA15" s="28"/>
      <c r="AB15" s="26">
        <f>(((V15+X15)*(1%/12*5)+((V15+X15)*(1%/12*5)+(V15+X15))*2%/12*7))</f>
        <v>1718.8082928858846</v>
      </c>
      <c r="AC15" s="27"/>
      <c r="AD15" s="26">
        <f t="shared" si="2"/>
        <v>107977.85471858215</v>
      </c>
      <c r="AE15" s="29"/>
      <c r="AF15" s="30">
        <f>800</f>
        <v>800</v>
      </c>
      <c r="AG15" s="28"/>
      <c r="AH15" s="26">
        <f>(((AD15+AF15)*(2%/12*5)+((AD15+AF15)*(2%/12*5)+(AD15+AF15))*2%/12*7))</f>
        <v>2186.1327191359496</v>
      </c>
      <c r="AI15" s="27"/>
      <c r="AJ15" s="26">
        <f t="shared" si="3"/>
        <v>110963.9874377181</v>
      </c>
      <c r="AK15" s="29"/>
    </row>
    <row r="16" spans="1:36" ht="18">
      <c r="A16" s="5" t="s">
        <v>24</v>
      </c>
      <c r="B16" s="26">
        <f>'[1]SUMMARY BUDGET MOVES '!C16+'[1]SUMMARY BUDGET MOVES '!D16+'[1]SUMMARY BUDGET MOVES '!E16</f>
        <v>7356.753513333333</v>
      </c>
      <c r="C16" s="27"/>
      <c r="D16" s="26">
        <f>SUM('[1]SUMMARY BUDGET MOVES '!F16:N16)</f>
        <v>0</v>
      </c>
      <c r="E16" s="27"/>
      <c r="F16" s="26">
        <f>B16+D16</f>
        <v>7356.753513333333</v>
      </c>
      <c r="G16" s="27"/>
      <c r="H16" s="26">
        <f>SUM('[1]SUMMARY BUDGET MOVES '!P16:S16)+SUM('[1]SUMMARY BUDGET MOVES '!X16:AA16)+'[1]SUMMARY BUDGET MOVES '!V16</f>
        <v>300</v>
      </c>
      <c r="I16" s="27"/>
      <c r="J16" s="26">
        <f>SUM('[1]SUMMARY BUDGET MOVES '!AB16:AD16)+'[1]SUMMARY BUDGET MOVES '!W16</f>
        <v>-1105</v>
      </c>
      <c r="K16" s="28"/>
      <c r="L16" s="26">
        <f>'[1]SUMMARY BUDGET MOVES '!AF16+'[1]SUMMARY BUDGET MOVES '!U16</f>
        <v>69.05051178122686</v>
      </c>
      <c r="M16" s="27"/>
      <c r="N16" s="26">
        <f t="shared" si="0"/>
        <v>6620.80402511456</v>
      </c>
      <c r="O16" s="27"/>
      <c r="P16" s="26">
        <v>600</v>
      </c>
      <c r="Q16" s="28"/>
      <c r="R16" s="26">
        <v>0</v>
      </c>
      <c r="S16" s="28"/>
      <c r="T16" s="26">
        <f>(((N16+P16)*(1%/12*5)+((N16+P16)*(1%/12*5)+(N16+P16))*1%/12*7))</f>
        <v>72.3835459045338</v>
      </c>
      <c r="U16" s="27"/>
      <c r="V16" s="26">
        <f t="shared" si="1"/>
        <v>7293.187571019094</v>
      </c>
      <c r="W16" s="27"/>
      <c r="X16" s="26">
        <v>-2400</v>
      </c>
      <c r="Y16" s="28"/>
      <c r="Z16" s="26">
        <f>SUM('[1]SUMMARY BUDGET MOVES '!AR16:AT16)+'[1]SUMMARY BUDGET MOVES '!AM16</f>
        <v>0</v>
      </c>
      <c r="AA16" s="28"/>
      <c r="AB16" s="26">
        <f>(((V16+X16)*(1%/12*5)+((V16+X16)*(1%/12*5)+(V16+X16))*2%/12*7))</f>
        <v>77.71333315917131</v>
      </c>
      <c r="AC16" s="27"/>
      <c r="AD16" s="26">
        <f t="shared" si="2"/>
        <v>4970.900904178266</v>
      </c>
      <c r="AE16" s="29"/>
      <c r="AF16" s="26">
        <v>0</v>
      </c>
      <c r="AG16" s="28"/>
      <c r="AH16" s="26">
        <f>(((AD16+AF16)*(2%/12*5)+((AD16+AF16)*(2%/12*5)+(AD16+AF16))*2%/12*7))</f>
        <v>99.90130011591599</v>
      </c>
      <c r="AI16" s="27"/>
      <c r="AJ16" s="26">
        <f t="shared" si="3"/>
        <v>5070.802204294181</v>
      </c>
    </row>
    <row r="17" spans="1:36" ht="18">
      <c r="A17" s="5" t="s">
        <v>25</v>
      </c>
      <c r="B17" s="26">
        <f>'[1]SUMMARY BUDGET MOVES '!C17+'[1]SUMMARY BUDGET MOVES '!D17+'[1]SUMMARY BUDGET MOVES '!E17</f>
        <v>1656.267528333333</v>
      </c>
      <c r="C17" s="27"/>
      <c r="D17" s="26">
        <f>SUM('[1]SUMMARY BUDGET MOVES '!F17:N17)</f>
        <v>0</v>
      </c>
      <c r="E17" s="27"/>
      <c r="F17" s="26">
        <f>B17+D17</f>
        <v>1656.267528333333</v>
      </c>
      <c r="G17" s="27"/>
      <c r="H17" s="26">
        <f>SUM('[1]SUMMARY BUDGET MOVES '!P17:S17)+SUM('[1]SUMMARY BUDGET MOVES '!X17:AA17)+'[1]SUMMARY BUDGET MOVES '!V17</f>
        <v>0</v>
      </c>
      <c r="I17" s="26"/>
      <c r="J17" s="26">
        <f>SUM('[1]SUMMARY BUDGET MOVES '!AB17:AD17)+'[1]SUMMARY BUDGET MOVES '!W17</f>
        <v>-115</v>
      </c>
      <c r="K17" s="26"/>
      <c r="L17" s="26">
        <f>'[1]SUMMARY BUDGET MOVES '!AF17+'[1]SUMMARY BUDGET MOVES '!U17</f>
        <v>15.932098452424766</v>
      </c>
      <c r="M17" s="27"/>
      <c r="N17" s="26">
        <f t="shared" si="0"/>
        <v>1557.1996267857578</v>
      </c>
      <c r="O17" s="27"/>
      <c r="P17" s="26">
        <v>0</v>
      </c>
      <c r="Q17" s="28"/>
      <c r="R17" s="26">
        <v>0</v>
      </c>
      <c r="S17" s="28"/>
      <c r="T17" s="26">
        <f>(((N17+P17)*(1%/12*5)+((N17+P17)*(1%/12*5)+(N17+P17))*1%/12*7))</f>
        <v>15.609844869897508</v>
      </c>
      <c r="U17" s="27"/>
      <c r="V17" s="26">
        <f t="shared" si="1"/>
        <v>1572.8094716556552</v>
      </c>
      <c r="W17" s="27"/>
      <c r="X17" s="26">
        <v>0</v>
      </c>
      <c r="Y17" s="28"/>
      <c r="Z17" s="26">
        <f>SUM('[1]SUMMARY BUDGET MOVES '!AR17:AT17)+'[1]SUMMARY BUDGET MOVES '!AM17</f>
        <v>0</v>
      </c>
      <c r="AA17" s="28"/>
      <c r="AB17" s="26">
        <f>(((V17+X17)*(1%/12*5)+((V17+X17)*(1%/12*5)+(V17+X17))*2%/12*7))</f>
        <v>24.979272650531136</v>
      </c>
      <c r="AC17" s="27"/>
      <c r="AD17" s="26">
        <f t="shared" si="2"/>
        <v>1597.7887443061863</v>
      </c>
      <c r="AE17" s="29"/>
      <c r="AF17" s="26">
        <v>0</v>
      </c>
      <c r="AG17" s="28"/>
      <c r="AH17" s="26">
        <f>(((AD17+AF17)*(2%/12*5)+((AD17+AF17)*(2%/12*5)+(AD17+AF17))*2%/12*7))</f>
        <v>32.11111545848683</v>
      </c>
      <c r="AI17" s="27"/>
      <c r="AJ17" s="26">
        <f t="shared" si="3"/>
        <v>1629.8998597646732</v>
      </c>
    </row>
    <row r="18" spans="1:36" ht="18">
      <c r="A18" s="5" t="s">
        <v>26</v>
      </c>
      <c r="B18" s="26">
        <f>SUM(B13:B17)</f>
        <v>370572.60907321615</v>
      </c>
      <c r="C18" s="27"/>
      <c r="D18" s="26">
        <f>SUM(D13:D17)</f>
        <v>-9261.8</v>
      </c>
      <c r="E18" s="27"/>
      <c r="F18" s="26">
        <f>SUM(F13:F17)</f>
        <v>361310.80907321617</v>
      </c>
      <c r="G18" s="27"/>
      <c r="H18" s="26">
        <f>SUM(H13:H17)</f>
        <v>2815.211009174312</v>
      </c>
      <c r="I18" s="27"/>
      <c r="J18" s="26">
        <f>SUM(J13:J17)</f>
        <v>-13482.066666666668</v>
      </c>
      <c r="K18" s="28"/>
      <c r="L18" s="26">
        <f>SUM(L13:L17)</f>
        <v>3534.2382684371173</v>
      </c>
      <c r="M18" s="27"/>
      <c r="N18" s="26">
        <f t="shared" si="0"/>
        <v>354178.1916841609</v>
      </c>
      <c r="O18" s="26"/>
      <c r="P18" s="26">
        <f>SUM(P13:P17)</f>
        <v>6418</v>
      </c>
      <c r="Q18" s="28"/>
      <c r="R18" s="26">
        <f>SUM(R13:R17)</f>
        <v>-17031.125</v>
      </c>
      <c r="S18" s="28"/>
      <c r="T18" s="26">
        <f>SUM(T13:T17)</f>
        <v>3563.501566863737</v>
      </c>
      <c r="U18" s="27"/>
      <c r="V18" s="26">
        <f t="shared" si="1"/>
        <v>347128.56825102464</v>
      </c>
      <c r="W18" s="27"/>
      <c r="X18" s="26">
        <f>SUM(X13:X17)</f>
        <v>13466</v>
      </c>
      <c r="Y18" s="28"/>
      <c r="Z18" s="26">
        <f>SUM(Z13:Z17)</f>
        <v>-17157.45833333332</v>
      </c>
      <c r="AA18" s="28"/>
      <c r="AB18" s="26">
        <f>SUM(AB13:AB17)</f>
        <v>5664.843484188947</v>
      </c>
      <c r="AC18" s="27"/>
      <c r="AD18" s="26">
        <f t="shared" si="2"/>
        <v>349101.9534018803</v>
      </c>
      <c r="AE18" s="32" t="s">
        <v>0</v>
      </c>
      <c r="AF18" s="26">
        <f>SUM(AF13:AF17)</f>
        <v>3700</v>
      </c>
      <c r="AG18" s="28"/>
      <c r="AH18" s="26">
        <f>SUM(AH13:AH17)</f>
        <v>7035.874503910826</v>
      </c>
      <c r="AI18" s="27"/>
      <c r="AJ18" s="26">
        <f t="shared" si="3"/>
        <v>359837.8279057911</v>
      </c>
    </row>
    <row r="19" spans="1:36" ht="18">
      <c r="A19" s="5" t="s">
        <v>27</v>
      </c>
      <c r="B19" s="26">
        <f>'[1]SUMMARY BUDGET MOVES '!C19+'[1]SUMMARY BUDGET MOVES '!D19+'[1]SUMMARY BUDGET MOVES '!E19</f>
        <v>4218.992</v>
      </c>
      <c r="C19" s="27"/>
      <c r="D19" s="26">
        <f>SUM('[1]SUMMARY BUDGET MOVES '!F19:N19)</f>
        <v>0</v>
      </c>
      <c r="E19" s="27"/>
      <c r="F19" s="26">
        <f aca="true" t="shared" si="4" ref="F19:F50">B19+D19</f>
        <v>4218.992</v>
      </c>
      <c r="G19" s="27"/>
      <c r="H19" s="26">
        <f>SUM('[1]SUMMARY BUDGET MOVES '!P19:S19)+SUM('[1]SUMMARY BUDGET MOVES '!X19:AA19)+'[1]SUMMARY BUDGET MOVES '!V19</f>
        <v>0</v>
      </c>
      <c r="I19" s="27"/>
      <c r="J19" s="26">
        <f>SUM('[1]SUMMARY BUDGET MOVES '!AB19:AD19)+'[1]SUMMARY BUDGET MOVES '!W19</f>
        <v>-810</v>
      </c>
      <c r="K19" s="28"/>
      <c r="L19" s="26">
        <f>'[1]SUMMARY BUDGET MOVES '!AF19+'[1]SUMMARY BUDGET MOVES '!U19</f>
        <v>68.17984</v>
      </c>
      <c r="M19" s="27"/>
      <c r="N19" s="26">
        <f t="shared" si="0"/>
        <v>3477.17184</v>
      </c>
      <c r="O19" s="27"/>
      <c r="P19" s="26">
        <v>0</v>
      </c>
      <c r="Q19" s="28"/>
      <c r="R19" s="26">
        <v>0</v>
      </c>
      <c r="S19" s="28"/>
      <c r="T19" s="26">
        <f aca="true" t="shared" si="5" ref="T19:T24">(N19*2%/12*5)+(N19*2%/12*5)*(2%/12*7)+(N19+P19)*2%/12*7</f>
        <v>69.88149517333332</v>
      </c>
      <c r="U19" s="27"/>
      <c r="V19" s="26">
        <f t="shared" si="1"/>
        <v>3547.0533351733334</v>
      </c>
      <c r="W19" s="27"/>
      <c r="X19" s="26">
        <v>0</v>
      </c>
      <c r="Y19" s="28"/>
      <c r="Z19" s="26">
        <f>SUM('[1]SUMMARY BUDGET MOVES '!AR19:AT19)+'[1]SUMMARY BUDGET MOVES '!AM19</f>
        <v>0</v>
      </c>
      <c r="AA19" s="28"/>
      <c r="AB19" s="26">
        <f>(V19*5%/12*5)+(V19*5%/12*5)*(5%/12*7)+(V19+X19)*5%/12*7</f>
        <v>179.50799430608106</v>
      </c>
      <c r="AC19" s="27"/>
      <c r="AD19" s="26">
        <f t="shared" si="2"/>
        <v>3726.5613294794143</v>
      </c>
      <c r="AE19" s="27"/>
      <c r="AF19" s="26">
        <v>0</v>
      </c>
      <c r="AG19" s="28"/>
      <c r="AH19" s="26">
        <f>(AD19*5%/12*5)+(AD19*5%/12*5)*(5%/12*7)+(AD19+AF19)*5%/12*7</f>
        <v>188.5924700595919</v>
      </c>
      <c r="AI19" s="27"/>
      <c r="AJ19" s="26">
        <f t="shared" si="3"/>
        <v>3915.1537995390063</v>
      </c>
    </row>
    <row r="20" spans="1:36" ht="18">
      <c r="A20" s="5" t="s">
        <v>28</v>
      </c>
      <c r="B20" s="26">
        <f>'[1]SUMMARY BUDGET MOVES '!C20+'[1]SUMMARY BUDGET MOVES '!D20+'[1]SUMMARY BUDGET MOVES '!E20</f>
        <v>7511.244</v>
      </c>
      <c r="C20" s="27"/>
      <c r="D20" s="26">
        <f>SUM('[1]SUMMARY BUDGET MOVES '!F20:N20)</f>
        <v>-161</v>
      </c>
      <c r="E20" s="27"/>
      <c r="F20" s="26">
        <f t="shared" si="4"/>
        <v>7350.244</v>
      </c>
      <c r="G20" s="27"/>
      <c r="H20" s="26">
        <f>SUM('[1]SUMMARY BUDGET MOVES '!P20:S20)+SUM('[1]SUMMARY BUDGET MOVES '!X20:AA20)+'[1]SUMMARY BUDGET MOVES '!V20</f>
        <v>0</v>
      </c>
      <c r="I20" s="27"/>
      <c r="J20" s="26">
        <f>SUM('[1]SUMMARY BUDGET MOVES '!AB20:AD20)+'[1]SUMMARY BUDGET MOVES '!W20</f>
        <v>-300</v>
      </c>
      <c r="K20" s="28"/>
      <c r="L20" s="26">
        <f>'[1]SUMMARY BUDGET MOVES '!AF20+'[1]SUMMARY BUDGET MOVES '!U20</f>
        <v>141.00487999999999</v>
      </c>
      <c r="M20" s="27"/>
      <c r="N20" s="26">
        <f t="shared" si="0"/>
        <v>7191.24888</v>
      </c>
      <c r="O20" s="27"/>
      <c r="P20" s="26">
        <v>0</v>
      </c>
      <c r="Q20" s="28"/>
      <c r="R20" s="26">
        <v>0</v>
      </c>
      <c r="S20" s="28"/>
      <c r="T20" s="26">
        <f t="shared" si="5"/>
        <v>144.52412679666668</v>
      </c>
      <c r="U20" s="27"/>
      <c r="V20" s="26">
        <f t="shared" si="1"/>
        <v>7335.773006796667</v>
      </c>
      <c r="W20" s="27"/>
      <c r="X20" s="26">
        <v>0</v>
      </c>
      <c r="Y20" s="28"/>
      <c r="Z20" s="26">
        <f>SUM('[1]SUMMARY BUDGET MOVES '!AR20:AT20)+'[1]SUMMARY BUDGET MOVES '!AM20</f>
        <v>0</v>
      </c>
      <c r="AA20" s="28"/>
      <c r="AB20" s="26">
        <f>(V20*2%/12*5)+(V20*2%/12*5)*(2%/12*7)+(V20+X20)*2%/12*7</f>
        <v>147.42866028937192</v>
      </c>
      <c r="AC20" s="27"/>
      <c r="AD20" s="26">
        <f t="shared" si="2"/>
        <v>7483.2016670860385</v>
      </c>
      <c r="AE20" s="27"/>
      <c r="AF20" s="26">
        <v>0</v>
      </c>
      <c r="AG20" s="28"/>
      <c r="AH20" s="26">
        <f>(AD20*2%/12*5)+(AD20*2%/12*5)*(2%/12*7)+(AD20+AF20)*2%/12*7</f>
        <v>150.3915668371319</v>
      </c>
      <c r="AI20" s="27"/>
      <c r="AJ20" s="26">
        <f t="shared" si="3"/>
        <v>7633.59323392317</v>
      </c>
    </row>
    <row r="21" spans="1:36" ht="18">
      <c r="A21" s="33" t="s">
        <v>29</v>
      </c>
      <c r="B21" s="26">
        <f>'[1]SUMMARY BUDGET MOVES '!C21+'[1]SUMMARY BUDGET MOVES '!D21+'[1]SUMMARY BUDGET MOVES '!E21</f>
        <v>360</v>
      </c>
      <c r="C21" s="27"/>
      <c r="D21" s="26">
        <f>SUM('[1]SUMMARY BUDGET MOVES '!F21:N21)</f>
        <v>0</v>
      </c>
      <c r="E21" s="27"/>
      <c r="F21" s="26">
        <f t="shared" si="4"/>
        <v>360</v>
      </c>
      <c r="G21" s="27"/>
      <c r="H21" s="26">
        <f>SUM('[1]SUMMARY BUDGET MOVES '!P21:S21)+SUM('[1]SUMMARY BUDGET MOVES '!X21:AA21)+'[1]SUMMARY BUDGET MOVES '!V21</f>
        <v>0</v>
      </c>
      <c r="I21" s="27"/>
      <c r="J21" s="26">
        <f>SUM('[1]SUMMARY BUDGET MOVES '!AB21:AD21)+'[1]SUMMARY BUDGET MOVES '!W21</f>
        <v>0</v>
      </c>
      <c r="K21" s="28"/>
      <c r="L21" s="26">
        <f>'[1]SUMMARY BUDGET MOVES '!AF21+'[1]SUMMARY BUDGET MOVES '!U21</f>
        <v>7.2</v>
      </c>
      <c r="M21" s="27"/>
      <c r="N21" s="26">
        <f t="shared" si="0"/>
        <v>367.2</v>
      </c>
      <c r="O21" s="27"/>
      <c r="P21" s="26">
        <v>0</v>
      </c>
      <c r="Q21" s="28"/>
      <c r="R21" s="26">
        <v>0</v>
      </c>
      <c r="S21" s="28"/>
      <c r="T21" s="26">
        <f t="shared" si="5"/>
        <v>7.3797</v>
      </c>
      <c r="U21" s="27"/>
      <c r="V21" s="26">
        <f t="shared" si="1"/>
        <v>374.5797</v>
      </c>
      <c r="W21" s="27"/>
      <c r="X21" s="26">
        <v>0</v>
      </c>
      <c r="Y21" s="28"/>
      <c r="Z21" s="26">
        <f>SUM('[1]SUMMARY BUDGET MOVES '!AR21:AT21)+'[1]SUMMARY BUDGET MOVES '!AM21</f>
        <v>0</v>
      </c>
      <c r="AA21" s="28"/>
      <c r="AB21" s="26">
        <f>(V21*2%/12*5)+(V21*2%/12*5)*(2%/12*7)+(V21+X21)*2%/12*7</f>
        <v>7.528011470833333</v>
      </c>
      <c r="AC21" s="27"/>
      <c r="AD21" s="26">
        <f t="shared" si="2"/>
        <v>382.10771147083335</v>
      </c>
      <c r="AE21" s="27"/>
      <c r="AF21" s="26">
        <v>0</v>
      </c>
      <c r="AG21" s="28"/>
      <c r="AH21" s="26">
        <f>(AD21*2%/12*5)+(AD21*2%/12*5)*(2%/12*7)+(AD21+AF21)*2%/12*7</f>
        <v>7.67930359025411</v>
      </c>
      <c r="AI21" s="27"/>
      <c r="AJ21" s="26">
        <f t="shared" si="3"/>
        <v>389.78701506108746</v>
      </c>
    </row>
    <row r="22" spans="1:36" ht="20.25" customHeight="1">
      <c r="A22" s="5" t="s">
        <v>30</v>
      </c>
      <c r="B22" s="26">
        <f>'[1]SUMMARY BUDGET MOVES '!C22+'[1]SUMMARY BUDGET MOVES '!D22+'[1]SUMMARY BUDGET MOVES '!E22</f>
        <v>2.102</v>
      </c>
      <c r="C22" s="27"/>
      <c r="D22" s="26">
        <f>SUM('[1]SUMMARY BUDGET MOVES '!F22:N22)</f>
        <v>0</v>
      </c>
      <c r="E22" s="27"/>
      <c r="F22" s="26">
        <f t="shared" si="4"/>
        <v>2.102</v>
      </c>
      <c r="G22" s="27"/>
      <c r="H22" s="26">
        <f>SUM('[1]SUMMARY BUDGET MOVES '!P22:S22)+SUM('[1]SUMMARY BUDGET MOVES '!X22:AA22)+'[1]SUMMARY BUDGET MOVES '!V22</f>
        <v>0</v>
      </c>
      <c r="I22" s="27"/>
      <c r="J22" s="26">
        <f>SUM('[1]SUMMARY BUDGET MOVES '!AB22:AD22)+'[1]SUMMARY BUDGET MOVES '!W22</f>
        <v>0</v>
      </c>
      <c r="K22" s="28"/>
      <c r="L22" s="26">
        <f>'[1]SUMMARY BUDGET MOVES '!AF22+'[1]SUMMARY BUDGET MOVES '!U22</f>
        <v>0.04204</v>
      </c>
      <c r="M22" s="27"/>
      <c r="N22" s="26">
        <f t="shared" si="0"/>
        <v>2.14404</v>
      </c>
      <c r="O22" s="27"/>
      <c r="P22" s="26">
        <v>0</v>
      </c>
      <c r="Q22" s="28"/>
      <c r="R22" s="26">
        <v>0</v>
      </c>
      <c r="S22" s="28"/>
      <c r="T22" s="26">
        <f t="shared" si="5"/>
        <v>0.04308924833333333</v>
      </c>
      <c r="U22" s="27"/>
      <c r="V22" s="26">
        <f t="shared" si="1"/>
        <v>2.187129248333333</v>
      </c>
      <c r="W22" s="27"/>
      <c r="X22" s="26">
        <v>0</v>
      </c>
      <c r="Y22" s="28"/>
      <c r="Z22" s="26">
        <f>SUM('[1]SUMMARY BUDGET MOVES '!AR22:AT22)+'[1]SUMMARY BUDGET MOVES '!AM22</f>
        <v>0</v>
      </c>
      <c r="AA22" s="28"/>
      <c r="AB22" s="26">
        <f>(V22*2%/12*5)+(V22*2%/12*5)*(2%/12*7)+(V22+X22)*2%/12*7</f>
        <v>0.04395522253247685</v>
      </c>
      <c r="AC22" s="27"/>
      <c r="AD22" s="26">
        <f t="shared" si="2"/>
        <v>2.23108447086581</v>
      </c>
      <c r="AE22" s="27"/>
      <c r="AF22" s="26">
        <v>0</v>
      </c>
      <c r="AG22" s="28"/>
      <c r="AH22" s="26">
        <f>(AD22*2%/12*5)+(AD22*2%/12*5)*(2%/12*7)+(AD22+AF22)*2%/12*7</f>
        <v>0.04483860040753926</v>
      </c>
      <c r="AI22" s="27"/>
      <c r="AJ22" s="26">
        <f t="shared" si="3"/>
        <v>2.275923071273349</v>
      </c>
    </row>
    <row r="23" spans="1:36" ht="18">
      <c r="A23" s="5" t="s">
        <v>31</v>
      </c>
      <c r="B23" s="26">
        <f>'[1]SUMMARY BUDGET MOVES '!C23+'[1]SUMMARY BUDGET MOVES '!D23+'[1]SUMMARY BUDGET MOVES '!E23</f>
        <v>1259.898</v>
      </c>
      <c r="C23" s="27"/>
      <c r="D23" s="26">
        <f>SUM('[1]SUMMARY BUDGET MOVES '!F23:N23)</f>
        <v>0</v>
      </c>
      <c r="E23" s="27"/>
      <c r="F23" s="26">
        <f t="shared" si="4"/>
        <v>1259.898</v>
      </c>
      <c r="G23" s="27"/>
      <c r="H23" s="26">
        <f>SUM('[1]SUMMARY BUDGET MOVES '!P23:S23)+SUM('[1]SUMMARY BUDGET MOVES '!X23:AA23)+'[1]SUMMARY BUDGET MOVES '!V23</f>
        <v>0</v>
      </c>
      <c r="I23" s="27"/>
      <c r="J23" s="26">
        <f>SUM('[1]SUMMARY BUDGET MOVES '!AB23:AD23)+'[1]SUMMARY BUDGET MOVES '!W23</f>
        <v>0</v>
      </c>
      <c r="K23" s="28"/>
      <c r="L23" s="26">
        <f>'[1]SUMMARY BUDGET MOVES '!AF23+'[1]SUMMARY BUDGET MOVES '!U23</f>
        <v>25.197960000000002</v>
      </c>
      <c r="M23" s="27"/>
      <c r="N23" s="26">
        <f t="shared" si="0"/>
        <v>1285.0959599999999</v>
      </c>
      <c r="O23" s="27"/>
      <c r="P23" s="26">
        <v>0</v>
      </c>
      <c r="Q23" s="28"/>
      <c r="R23" s="26">
        <v>0</v>
      </c>
      <c r="S23" s="28"/>
      <c r="T23" s="26">
        <f t="shared" si="5"/>
        <v>25.826859085</v>
      </c>
      <c r="U23" s="27"/>
      <c r="V23" s="26">
        <f t="shared" si="1"/>
        <v>1310.922819085</v>
      </c>
      <c r="W23" s="27"/>
      <c r="X23" s="26">
        <v>0</v>
      </c>
      <c r="Y23" s="28"/>
      <c r="Z23" s="26">
        <f>SUM('[1]SUMMARY BUDGET MOVES '!AR23:AT23)+'[1]SUMMARY BUDGET MOVES '!AM23</f>
        <v>0</v>
      </c>
      <c r="AA23" s="28"/>
      <c r="AB23" s="26">
        <f>(V23*2%/12*5)+(V23*2%/12*5)*(2%/12*7)+(V23+X23)*2%/12*7</f>
        <v>26.345907211333262</v>
      </c>
      <c r="AC23" s="27"/>
      <c r="AD23" s="26">
        <f t="shared" si="2"/>
        <v>1337.2687262963332</v>
      </c>
      <c r="AE23" s="27"/>
      <c r="AF23" s="26">
        <v>0</v>
      </c>
      <c r="AG23" s="28"/>
      <c r="AH23" s="26">
        <f>(AD23*2%/12*5)+(AD23*2%/12*5)*(2%/12*7)+(AD23+AF23)*2%/12*7</f>
        <v>26.875386763205476</v>
      </c>
      <c r="AI23" s="27"/>
      <c r="AJ23" s="26">
        <f t="shared" si="3"/>
        <v>1364.1441130595385</v>
      </c>
    </row>
    <row r="24" spans="1:36" ht="18">
      <c r="A24" s="5" t="s">
        <v>32</v>
      </c>
      <c r="B24" s="26">
        <f>'[1]SUMMARY BUDGET MOVES '!C24+'[1]SUMMARY BUDGET MOVES '!D24+'[1]SUMMARY BUDGET MOVES '!E24</f>
        <v>568.65096</v>
      </c>
      <c r="C24" s="27"/>
      <c r="D24" s="26">
        <f>SUM('[1]SUMMARY BUDGET MOVES '!F24:N24)</f>
        <v>0</v>
      </c>
      <c r="E24" s="27"/>
      <c r="F24" s="26">
        <f t="shared" si="4"/>
        <v>568.65096</v>
      </c>
      <c r="G24" s="27"/>
      <c r="H24" s="26">
        <f>SUM('[1]SUMMARY BUDGET MOVES '!P24:S24)+SUM('[1]SUMMARY BUDGET MOVES '!X24:AA24)+'[1]SUMMARY BUDGET MOVES '!V24</f>
        <v>0</v>
      </c>
      <c r="I24" s="27"/>
      <c r="J24" s="26">
        <f>SUM('[1]SUMMARY BUDGET MOVES '!AB24:AD24)+'[1]SUMMARY BUDGET MOVES '!W24</f>
        <v>0</v>
      </c>
      <c r="K24" s="28"/>
      <c r="L24" s="26">
        <f>'[1]SUMMARY BUDGET MOVES '!AF24+'[1]SUMMARY BUDGET MOVES '!U24</f>
        <v>11.373019200000002</v>
      </c>
      <c r="M24" s="27"/>
      <c r="N24" s="26">
        <f t="shared" si="0"/>
        <v>580.0239792000001</v>
      </c>
      <c r="O24" s="27"/>
      <c r="P24" s="26">
        <v>0</v>
      </c>
      <c r="Q24" s="28"/>
      <c r="R24" s="26">
        <v>0</v>
      </c>
      <c r="S24" s="28"/>
      <c r="T24" s="26">
        <f t="shared" si="5"/>
        <v>11.656870804200002</v>
      </c>
      <c r="U24" s="27"/>
      <c r="V24" s="26">
        <f t="shared" si="1"/>
        <v>591.6808500042001</v>
      </c>
      <c r="W24" s="27"/>
      <c r="X24" s="26">
        <v>0</v>
      </c>
      <c r="Y24" s="28"/>
      <c r="Z24" s="26">
        <f>SUM('[1]SUMMARY BUDGET MOVES '!AR24:AT24)+'[1]SUMMARY BUDGET MOVES '!AM24</f>
        <v>0</v>
      </c>
      <c r="AA24" s="28"/>
      <c r="AB24" s="26">
        <f>(V24*2%/12*5)+(V24*2%/12*5)*(2%/12*7)+(V24+X24)*2%/12*7</f>
        <v>11.891141527167743</v>
      </c>
      <c r="AC24" s="27"/>
      <c r="AD24" s="26">
        <f t="shared" si="2"/>
        <v>603.5719915313679</v>
      </c>
      <c r="AE24" s="27"/>
      <c r="AF24" s="26">
        <v>0</v>
      </c>
      <c r="AG24" s="28"/>
      <c r="AH24" s="26">
        <f>(AD24*2%/12*5)+(AD24*2%/12*5)*(2%/12*7)+(AD24+AF24)*2%/12*7</f>
        <v>12.13012044091513</v>
      </c>
      <c r="AI24" s="27"/>
      <c r="AJ24" s="26">
        <f t="shared" si="3"/>
        <v>615.702111972283</v>
      </c>
    </row>
    <row r="25" spans="1:36" ht="18">
      <c r="A25" s="5" t="s">
        <v>33</v>
      </c>
      <c r="B25" s="26">
        <f>'[1]SUMMARY BUDGET MOVES '!C25+'[1]SUMMARY BUDGET MOVES '!D25+'[1]SUMMARY BUDGET MOVES '!E25</f>
        <v>12646.305</v>
      </c>
      <c r="C25" s="27"/>
      <c r="D25" s="26">
        <f>SUM('[1]SUMMARY BUDGET MOVES '!F25:N25)</f>
        <v>-332</v>
      </c>
      <c r="E25" s="27"/>
      <c r="F25" s="26">
        <f t="shared" si="4"/>
        <v>12314.305</v>
      </c>
      <c r="G25" s="27"/>
      <c r="H25" s="26">
        <f>SUM('[1]SUMMARY BUDGET MOVES '!P25:S25)+SUM('[1]SUMMARY BUDGET MOVES '!X25:AA25)+'[1]SUMMARY BUDGET MOVES '!V25</f>
        <v>44</v>
      </c>
      <c r="I25" s="27"/>
      <c r="J25" s="26">
        <f>SUM('[1]SUMMARY BUDGET MOVES '!AB25:AD25)+'[1]SUMMARY BUDGET MOVES '!W25</f>
        <v>-316</v>
      </c>
      <c r="K25" s="28"/>
      <c r="L25" s="26">
        <f>'[1]SUMMARY BUDGET MOVES '!AF25+'[1]SUMMARY BUDGET MOVES '!U25</f>
        <v>216.60996</v>
      </c>
      <c r="M25" s="27"/>
      <c r="N25" s="26">
        <f t="shared" si="0"/>
        <v>12258.91496</v>
      </c>
      <c r="O25" s="27"/>
      <c r="P25" s="26">
        <v>350</v>
      </c>
      <c r="Q25" s="28"/>
      <c r="R25" s="26">
        <f>'[1]PF Wp Non Pay Savings Latest'!F372*-1</f>
        <v>-100</v>
      </c>
      <c r="S25" s="28"/>
      <c r="T25" s="26">
        <f>(N25*3.5%/12*5)+(N25*3.5%/12*5)*(3.5%/12*7)+(N25+P25)*3.5%/12*7</f>
        <v>439.85786373131947</v>
      </c>
      <c r="U25" s="27"/>
      <c r="V25" s="26">
        <f t="shared" si="1"/>
        <v>12948.77282373132</v>
      </c>
      <c r="W25" s="27"/>
      <c r="X25" s="26">
        <v>500</v>
      </c>
      <c r="Y25" s="28"/>
      <c r="Z25" s="26">
        <f>'[1]PF Wp Non Pay Savings Latest'!G416*-1</f>
        <v>-720</v>
      </c>
      <c r="AA25" s="28"/>
      <c r="AB25" s="26">
        <f>(V25*3.5%/12*5)+(V25*3.5%/12*5)*(3.5%/12*7)+(V25+X25)*3.5%/12*7</f>
        <v>467.2707893501621</v>
      </c>
      <c r="AC25" s="27"/>
      <c r="AD25" s="26">
        <f t="shared" si="2"/>
        <v>13196.043613081483</v>
      </c>
      <c r="AE25" s="27"/>
      <c r="AF25" s="26">
        <v>500</v>
      </c>
      <c r="AG25" s="28"/>
      <c r="AH25" s="26">
        <f>(AD25*3.5%/12*5)+(AD25*3.5%/12*5)*(3.5%/12*7)+(AD25+AF25)*3.5%/12*7</f>
        <v>475.9988901377885</v>
      </c>
      <c r="AI25" s="27"/>
      <c r="AJ25" s="26">
        <f t="shared" si="3"/>
        <v>14172.042503219272</v>
      </c>
    </row>
    <row r="26" spans="1:36" ht="18">
      <c r="A26" s="5" t="s">
        <v>34</v>
      </c>
      <c r="B26" s="26">
        <f>'[1]SUMMARY BUDGET MOVES '!C26+'[1]SUMMARY BUDGET MOVES '!D26+'[1]SUMMARY BUDGET MOVES '!E26</f>
        <v>2437.1780000000003</v>
      </c>
      <c r="C26" s="27"/>
      <c r="D26" s="26">
        <f>SUM('[1]SUMMARY BUDGET MOVES '!F26:N26)</f>
        <v>0</v>
      </c>
      <c r="E26" s="27"/>
      <c r="F26" s="26">
        <f t="shared" si="4"/>
        <v>2437.1780000000003</v>
      </c>
      <c r="G26" s="27"/>
      <c r="H26" s="26">
        <f>SUM('[1]SUMMARY BUDGET MOVES '!P26:S26)+SUM('[1]SUMMARY BUDGET MOVES '!X26:AA26)+'[1]SUMMARY BUDGET MOVES '!V26</f>
        <v>0</v>
      </c>
      <c r="I26" s="27"/>
      <c r="J26" s="26">
        <f>SUM('[1]SUMMARY BUDGET MOVES '!AB26:AD26)+'[1]SUMMARY BUDGET MOVES '!W26</f>
        <v>-70</v>
      </c>
      <c r="K26" s="28"/>
      <c r="L26" s="26">
        <f>'[1]SUMMARY BUDGET MOVES '!AF26+'[1]SUMMARY BUDGET MOVES '!U26</f>
        <v>66.96367000000001</v>
      </c>
      <c r="M26" s="27"/>
      <c r="N26" s="26">
        <f t="shared" si="0"/>
        <v>2434.1416700000004</v>
      </c>
      <c r="O26" s="27"/>
      <c r="P26" s="26">
        <v>0</v>
      </c>
      <c r="Q26" s="28"/>
      <c r="R26" s="26">
        <v>0</v>
      </c>
      <c r="S26" s="28"/>
      <c r="T26" s="26">
        <f>(N26*2%/12*5)+(N26*2%/12*5)*(2%/12*7)+(N26+P26)*2%/12*7</f>
        <v>48.91948606236112</v>
      </c>
      <c r="U26" s="27"/>
      <c r="V26" s="26">
        <f t="shared" si="1"/>
        <v>2483.0611560623615</v>
      </c>
      <c r="W26" s="27"/>
      <c r="X26" s="26">
        <v>0</v>
      </c>
      <c r="Y26" s="28"/>
      <c r="Z26" s="26">
        <f>SUM('[1]SUMMARY BUDGET MOVES '!AR26:AT26)+'[1]SUMMARY BUDGET MOVES '!AM26</f>
        <v>0</v>
      </c>
      <c r="AA26" s="28"/>
      <c r="AB26" s="26">
        <f>(V26*2%/12*5)+(V26*2%/12*5)*(2%/12*7)+(V26+X26)*2%/12*7</f>
        <v>49.902631844753294</v>
      </c>
      <c r="AC26" s="27"/>
      <c r="AD26" s="26">
        <f t="shared" si="2"/>
        <v>2532.9637879071147</v>
      </c>
      <c r="AE26" s="27"/>
      <c r="AF26" s="26">
        <v>0</v>
      </c>
      <c r="AG26" s="28"/>
      <c r="AH26" s="26">
        <f>(AD26*2%/12*5)+(AD26*2%/12*5)*(2%/12*7)+(AD26+AF26)*2%/12*7</f>
        <v>50.905536126411036</v>
      </c>
      <c r="AI26" s="27"/>
      <c r="AJ26" s="26">
        <f t="shared" si="3"/>
        <v>2583.8693240335256</v>
      </c>
    </row>
    <row r="27" spans="1:36" ht="18">
      <c r="A27" s="5" t="s">
        <v>35</v>
      </c>
      <c r="B27" s="26">
        <f>'[1]SUMMARY BUDGET MOVES '!C27+'[1]SUMMARY BUDGET MOVES '!D27+'[1]SUMMARY BUDGET MOVES '!E27</f>
        <v>2592.94</v>
      </c>
      <c r="C27" s="27"/>
      <c r="D27" s="26">
        <f>SUM('[1]SUMMARY BUDGET MOVES '!F27:N27)</f>
        <v>-300</v>
      </c>
      <c r="E27" s="27"/>
      <c r="F27" s="26">
        <f t="shared" si="4"/>
        <v>2292.94</v>
      </c>
      <c r="G27" s="27"/>
      <c r="H27" s="26">
        <f>SUM('[1]SUMMARY BUDGET MOVES '!P27:S27)+SUM('[1]SUMMARY BUDGET MOVES '!X27:AA27)+'[1]SUMMARY BUDGET MOVES '!V27</f>
        <v>0</v>
      </c>
      <c r="I27" s="27"/>
      <c r="J27" s="26">
        <f>SUM('[1]SUMMARY BUDGET MOVES '!AB27:AD27)+'[1]SUMMARY BUDGET MOVES '!W27</f>
        <v>300</v>
      </c>
      <c r="K27" s="28"/>
      <c r="L27" s="26">
        <f>'[1]SUMMARY BUDGET MOVES '!AF27+'[1]SUMMARY BUDGET MOVES '!U27</f>
        <v>51.8588</v>
      </c>
      <c r="M27" s="27"/>
      <c r="N27" s="26">
        <f t="shared" si="0"/>
        <v>2644.7988</v>
      </c>
      <c r="O27" s="27"/>
      <c r="P27" s="26">
        <v>0</v>
      </c>
      <c r="Q27" s="28"/>
      <c r="R27" s="26">
        <v>0</v>
      </c>
      <c r="S27" s="28"/>
      <c r="T27" s="26">
        <f>(N27*2%/12*5)+(N27*2%/12*5)*(2%/12*7)+(N27+P27)*2%/12*7</f>
        <v>53.153109216666664</v>
      </c>
      <c r="U27" s="27"/>
      <c r="V27" s="26">
        <f t="shared" si="1"/>
        <v>2697.9519092166665</v>
      </c>
      <c r="W27" s="27"/>
      <c r="X27" s="26">
        <v>0</v>
      </c>
      <c r="Y27" s="28"/>
      <c r="Z27" s="26">
        <f>SUM('[1]SUMMARY BUDGET MOVES '!AR27:AT27)+'[1]SUMMARY BUDGET MOVES '!AM27</f>
        <v>0</v>
      </c>
      <c r="AA27" s="28"/>
      <c r="AB27" s="26">
        <f>(V27*2%/12*5)+(V27*2%/12*5)*(2%/12*7)+(V27+X27)*2%/12*7</f>
        <v>54.22133906439606</v>
      </c>
      <c r="AC27" s="27"/>
      <c r="AD27" s="26">
        <f t="shared" si="2"/>
        <v>2752.1732482810626</v>
      </c>
      <c r="AE27" s="27"/>
      <c r="AF27" s="26">
        <v>0</v>
      </c>
      <c r="AG27" s="28"/>
      <c r="AH27" s="26">
        <f>(AD27*2%/12*5)+(AD27*2%/12*5)*(2%/12*7)+(AD27+AF27)*2%/12*7</f>
        <v>55.311037364759684</v>
      </c>
      <c r="AI27" s="27"/>
      <c r="AJ27" s="26">
        <f t="shared" si="3"/>
        <v>2807.484285645822</v>
      </c>
    </row>
    <row r="28" spans="1:36" ht="18">
      <c r="A28" s="5" t="s">
        <v>36</v>
      </c>
      <c r="B28" s="26">
        <f>'[1]SUMMARY BUDGET MOVES '!C28+'[1]SUMMARY BUDGET MOVES '!D28+'[1]SUMMARY BUDGET MOVES '!E28</f>
        <v>10743.735</v>
      </c>
      <c r="C28" s="27"/>
      <c r="D28" s="26">
        <f>SUM('[1]SUMMARY BUDGET MOVES '!F28:N28)</f>
        <v>-300</v>
      </c>
      <c r="E28" s="27"/>
      <c r="F28" s="26">
        <f t="shared" si="4"/>
        <v>10443.735</v>
      </c>
      <c r="G28" s="27"/>
      <c r="H28" s="26">
        <f>SUM('[1]SUMMARY BUDGET MOVES '!P28:S28)+SUM('[1]SUMMARY BUDGET MOVES '!X28:AA28)+'[1]SUMMARY BUDGET MOVES '!V28</f>
        <v>0</v>
      </c>
      <c r="I28" s="27"/>
      <c r="J28" s="26">
        <f>SUM('[1]SUMMARY BUDGET MOVES '!AB28:AD28)+'[1]SUMMARY BUDGET MOVES '!W28</f>
        <v>-400</v>
      </c>
      <c r="K28" s="28"/>
      <c r="L28" s="26">
        <f>'[1]SUMMARY BUDGET MOVES '!AF28+'[1]SUMMARY BUDGET MOVES '!U28</f>
        <v>336.27722500000004</v>
      </c>
      <c r="M28" s="27"/>
      <c r="N28" s="26">
        <f t="shared" si="0"/>
        <v>10380.012225</v>
      </c>
      <c r="O28" s="27"/>
      <c r="P28" s="26">
        <v>0</v>
      </c>
      <c r="Q28" s="28"/>
      <c r="R28" s="26">
        <f>'[1]PF Wp Non Pay Savings Latest'!F373*-1</f>
        <v>-1000</v>
      </c>
      <c r="S28" s="28"/>
      <c r="T28" s="26">
        <f>(N28*3.5%/12*5)+(N28*3.5%/12*5)*(3.5%/12*7)+(N28+P28)*3.5%/12*7</f>
        <v>366.39100443157554</v>
      </c>
      <c r="U28" s="27"/>
      <c r="V28" s="26">
        <f t="shared" si="1"/>
        <v>9746.403229431577</v>
      </c>
      <c r="W28" s="27"/>
      <c r="X28" s="26">
        <v>0</v>
      </c>
      <c r="Y28" s="28"/>
      <c r="Z28" s="26">
        <f>'[1]PF Wp Non Pay Savings Latest'!G373*-1</f>
        <v>-1000</v>
      </c>
      <c r="AA28" s="28"/>
      <c r="AB28" s="26">
        <f>(V28*3.5%/12*5)+(V28*3.5%/12*5)*(3.5%/12*7)+(V28+X28)*3.5%/12*7</f>
        <v>344.0260369083127</v>
      </c>
      <c r="AC28" s="27"/>
      <c r="AD28" s="26">
        <f t="shared" si="2"/>
        <v>9090.42926633989</v>
      </c>
      <c r="AE28" s="27"/>
      <c r="AF28" s="26">
        <v>0</v>
      </c>
      <c r="AG28" s="28"/>
      <c r="AH28" s="26">
        <f>(AD28*3.5%/12*5)+(AD28*3.5%/12*5)*(3.5%/12*7)+(AD28+AF28)*3.5%/12*7</f>
        <v>320.8716365079679</v>
      </c>
      <c r="AI28" s="27"/>
      <c r="AJ28" s="26">
        <f t="shared" si="3"/>
        <v>9411.300902847857</v>
      </c>
    </row>
    <row r="29" spans="1:36" ht="18">
      <c r="A29" s="5" t="s">
        <v>37</v>
      </c>
      <c r="B29" s="26">
        <f>'[1]SUMMARY BUDGET MOVES '!C29+'[1]SUMMARY BUDGET MOVES '!D29+'[1]SUMMARY BUDGET MOVES '!E29</f>
        <v>4795.842000000001</v>
      </c>
      <c r="C29" s="27"/>
      <c r="D29" s="26">
        <f>SUM('[1]SUMMARY BUDGET MOVES '!F29:N29)</f>
        <v>0</v>
      </c>
      <c r="E29" s="27"/>
      <c r="F29" s="26">
        <f t="shared" si="4"/>
        <v>4795.842000000001</v>
      </c>
      <c r="G29" s="27"/>
      <c r="H29" s="26">
        <f>SUM('[1]SUMMARY BUDGET MOVES '!P29:S29)+SUM('[1]SUMMARY BUDGET MOVES '!X29:AA29)+'[1]SUMMARY BUDGET MOVES '!V29</f>
        <v>0</v>
      </c>
      <c r="I29" s="27"/>
      <c r="J29" s="26">
        <f>SUM('[1]SUMMARY BUDGET MOVES '!AB29:AD29)+'[1]SUMMARY BUDGET MOVES '!W29</f>
        <v>-300</v>
      </c>
      <c r="K29" s="28"/>
      <c r="L29" s="26">
        <f>'[1]SUMMARY BUDGET MOVES '!AF29+'[1]SUMMARY BUDGET MOVES '!U29</f>
        <v>441.41035999999997</v>
      </c>
      <c r="M29" s="27"/>
      <c r="N29" s="26">
        <f t="shared" si="0"/>
        <v>4937.25236</v>
      </c>
      <c r="O29" s="27"/>
      <c r="P29" s="26">
        <v>0</v>
      </c>
      <c r="Q29" s="28"/>
      <c r="R29" s="26">
        <v>0</v>
      </c>
      <c r="S29" s="28"/>
      <c r="T29" s="26">
        <f>(N29*5%/12*5)+(N29*5%/12*5)*(5%/12*7)+(N29+P29)*5%/12*7</f>
        <v>249.86268453819446</v>
      </c>
      <c r="U29" s="27"/>
      <c r="V29" s="26">
        <f t="shared" si="1"/>
        <v>5187.1150445381945</v>
      </c>
      <c r="W29" s="27"/>
      <c r="X29" s="26">
        <v>0</v>
      </c>
      <c r="Y29" s="28"/>
      <c r="Z29" s="26">
        <f>SUM('[1]SUMMARY BUDGET MOVES '!AR29:AT29)+'[1]SUMMARY BUDGET MOVES '!AM29</f>
        <v>0</v>
      </c>
      <c r="AA29" s="28"/>
      <c r="AB29" s="26">
        <f>(V29*5%/12*5)+(V29*5%/12*5)*(5%/12*7)+(V29+X29)*5%/12*7</f>
        <v>262.5076450491118</v>
      </c>
      <c r="AC29" s="27"/>
      <c r="AD29" s="26">
        <f t="shared" si="2"/>
        <v>5449.622689587306</v>
      </c>
      <c r="AE29" s="27"/>
      <c r="AF29" s="26">
        <v>0</v>
      </c>
      <c r="AG29" s="28"/>
      <c r="AH29" s="26">
        <f>(AD29*5%/12*5)+(AD29*5%/12*5)*(5%/12*7)+(AD29+AF29)*5%/12*7</f>
        <v>275.79253715532985</v>
      </c>
      <c r="AI29" s="27"/>
      <c r="AJ29" s="26">
        <f t="shared" si="3"/>
        <v>5725.415226742636</v>
      </c>
    </row>
    <row r="30" spans="1:36" ht="18">
      <c r="A30" s="5" t="s">
        <v>38</v>
      </c>
      <c r="B30" s="26">
        <f>'[1]SUMMARY BUDGET MOVES '!C30+'[1]SUMMARY BUDGET MOVES '!D30+'[1]SUMMARY BUDGET MOVES '!E30</f>
        <v>275</v>
      </c>
      <c r="C30" s="27"/>
      <c r="D30" s="26">
        <f>SUM('[1]SUMMARY BUDGET MOVES '!F30:N30)</f>
        <v>0</v>
      </c>
      <c r="E30" s="27"/>
      <c r="F30" s="26">
        <f t="shared" si="4"/>
        <v>275</v>
      </c>
      <c r="G30" s="27"/>
      <c r="H30" s="26">
        <f>SUM('[1]SUMMARY BUDGET MOVES '!P30:S30)+SUM('[1]SUMMARY BUDGET MOVES '!X30:AA30)+'[1]SUMMARY BUDGET MOVES '!V30</f>
        <v>0</v>
      </c>
      <c r="I30" s="27"/>
      <c r="J30" s="26">
        <f>SUM('[1]SUMMARY BUDGET MOVES '!AB30:AD30)+'[1]SUMMARY BUDGET MOVES '!W30</f>
        <v>0</v>
      </c>
      <c r="K30" s="28"/>
      <c r="L30" s="26">
        <f>'[1]SUMMARY BUDGET MOVES '!AF30+'[1]SUMMARY BUDGET MOVES '!U30</f>
        <v>5.5</v>
      </c>
      <c r="M30" s="27"/>
      <c r="N30" s="26">
        <f t="shared" si="0"/>
        <v>280.5</v>
      </c>
      <c r="O30" s="27"/>
      <c r="P30" s="26">
        <v>0</v>
      </c>
      <c r="Q30" s="28"/>
      <c r="R30" s="26">
        <v>0</v>
      </c>
      <c r="S30" s="28"/>
      <c r="T30" s="26">
        <f>(N30*2%/12*5)+(N30*2%/12*5)*(2%/12*7)+(N30+P30)*2%/12*7</f>
        <v>5.637270833333334</v>
      </c>
      <c r="U30" s="27"/>
      <c r="V30" s="26">
        <f t="shared" si="1"/>
        <v>286.13727083333333</v>
      </c>
      <c r="W30" s="27"/>
      <c r="X30" s="26">
        <v>0</v>
      </c>
      <c r="Y30" s="28"/>
      <c r="Z30" s="26">
        <f>SUM('[1]SUMMARY BUDGET MOVES '!AR30:AT30)+'[1]SUMMARY BUDGET MOVES '!AM30</f>
        <v>0</v>
      </c>
      <c r="AA30" s="28"/>
      <c r="AB30" s="26">
        <f>(V30*2%/12*5)+(V30*2%/12*5)*(2%/12*7)+(V30+X30)*2%/12*7</f>
        <v>5.750564317997686</v>
      </c>
      <c r="AC30" s="27"/>
      <c r="AD30" s="26">
        <f t="shared" si="2"/>
        <v>291.88783515133105</v>
      </c>
      <c r="AE30" s="27"/>
      <c r="AF30" s="26">
        <v>0</v>
      </c>
      <c r="AG30" s="28"/>
      <c r="AH30" s="26">
        <f>(AD30*2%/12*5)+(AD30*2%/12*5)*(2%/12*7)+(AD30+AF30)*2%/12*7</f>
        <v>5.866134686999667</v>
      </c>
      <c r="AI30" s="27"/>
      <c r="AJ30" s="26">
        <f t="shared" si="3"/>
        <v>297.7539698383307</v>
      </c>
    </row>
    <row r="31" spans="1:36" ht="18">
      <c r="A31" s="5" t="s">
        <v>39</v>
      </c>
      <c r="B31" s="26">
        <f>'[1]SUMMARY BUDGET MOVES '!C31+'[1]SUMMARY BUDGET MOVES '!D31+'[1]SUMMARY BUDGET MOVES '!E31</f>
        <v>1609.35</v>
      </c>
      <c r="C31" s="27"/>
      <c r="D31" s="26">
        <f>SUM('[1]SUMMARY BUDGET MOVES '!F31:N31)</f>
        <v>-150</v>
      </c>
      <c r="E31" s="27"/>
      <c r="F31" s="26">
        <f t="shared" si="4"/>
        <v>1459.35</v>
      </c>
      <c r="G31" s="27"/>
      <c r="H31" s="26">
        <f>SUM('[1]SUMMARY BUDGET MOVES '!P31:S31)+SUM('[1]SUMMARY BUDGET MOVES '!X31:AA31)+'[1]SUMMARY BUDGET MOVES '!V31</f>
        <v>0</v>
      </c>
      <c r="I31" s="27"/>
      <c r="J31" s="26">
        <f>SUM('[1]SUMMARY BUDGET MOVES '!AB31:AD31)+'[1]SUMMARY BUDGET MOVES '!W31</f>
        <v>-150</v>
      </c>
      <c r="K31" s="28"/>
      <c r="L31" s="26">
        <f>'[1]SUMMARY BUDGET MOVES '!AF31+'[1]SUMMARY BUDGET MOVES '!U31</f>
        <v>0</v>
      </c>
      <c r="M31" s="27"/>
      <c r="N31" s="26">
        <f t="shared" si="0"/>
        <v>1309.35</v>
      </c>
      <c r="O31" s="27"/>
      <c r="P31" s="26">
        <v>0</v>
      </c>
      <c r="Q31" s="28"/>
      <c r="R31" s="26">
        <v>0</v>
      </c>
      <c r="S31" s="28"/>
      <c r="T31" s="26">
        <f>(N31*2%/12*5)+(N31*2%/12*5)*(2%/12*7)+(N31+P31)*2%/12*7</f>
        <v>26.314297916666664</v>
      </c>
      <c r="U31" s="27"/>
      <c r="V31" s="26">
        <f t="shared" si="1"/>
        <v>1335.6642979166666</v>
      </c>
      <c r="W31" s="27"/>
      <c r="X31" s="26">
        <v>0</v>
      </c>
      <c r="Y31" s="28"/>
      <c r="Z31" s="26">
        <f>SUM('[1]SUMMARY BUDGET MOVES '!AR31:AT31)+'[1]SUMMARY BUDGET MOVES '!AM31</f>
        <v>0</v>
      </c>
      <c r="AA31" s="28"/>
      <c r="AB31" s="26">
        <f>(V31*2%/12*5)+(V31*2%/12*5)*(2%/12*7)+(V31+X31)*2%/12*7</f>
        <v>26.84314220951967</v>
      </c>
      <c r="AC31" s="27"/>
      <c r="AD31" s="26">
        <f t="shared" si="2"/>
        <v>1362.5074401261863</v>
      </c>
      <c r="AE31" s="27"/>
      <c r="AF31" s="26">
        <v>0</v>
      </c>
      <c r="AG31" s="28"/>
      <c r="AH31" s="26">
        <f>(AD31*2%/12*5)+(AD31*2%/12*5)*(2%/12*7)+(AD31+AF31)*2%/12*7</f>
        <v>27.382614803647108</v>
      </c>
      <c r="AI31" s="27"/>
      <c r="AJ31" s="26">
        <f t="shared" si="3"/>
        <v>1389.8900549298335</v>
      </c>
    </row>
    <row r="32" spans="1:36" ht="18">
      <c r="A32" s="5" t="s">
        <v>40</v>
      </c>
      <c r="B32" s="26">
        <f>'[1]SUMMARY BUDGET MOVES '!C32+'[1]SUMMARY BUDGET MOVES '!D32+'[1]SUMMARY BUDGET MOVES '!E32</f>
        <v>12473.511000000002</v>
      </c>
      <c r="C32" s="27"/>
      <c r="D32" s="26">
        <f>SUM('[1]SUMMARY BUDGET MOVES '!F32:N32)</f>
        <v>-553</v>
      </c>
      <c r="E32" s="27"/>
      <c r="F32" s="26">
        <f t="shared" si="4"/>
        <v>11920.511000000002</v>
      </c>
      <c r="G32" s="27"/>
      <c r="H32" s="26">
        <f>SUM('[1]SUMMARY BUDGET MOVES '!P32:S32)+SUM('[1]SUMMARY BUDGET MOVES '!X32:AA32)+'[1]SUMMARY BUDGET MOVES '!V32</f>
        <v>0</v>
      </c>
      <c r="I32" s="27"/>
      <c r="J32" s="26">
        <f>SUM('[1]SUMMARY BUDGET MOVES '!AB32:AD32)+'[1]SUMMARY BUDGET MOVES '!W32</f>
        <v>-270</v>
      </c>
      <c r="K32" s="28"/>
      <c r="L32" s="26">
        <f>'[1]SUMMARY BUDGET MOVES '!AF32+'[1]SUMMARY BUDGET MOVES '!U32</f>
        <v>233.415748</v>
      </c>
      <c r="M32" s="27"/>
      <c r="N32" s="26">
        <f t="shared" si="0"/>
        <v>11883.926748000002</v>
      </c>
      <c r="O32" s="27"/>
      <c r="P32" s="26">
        <v>0</v>
      </c>
      <c r="Q32" s="28"/>
      <c r="R32" s="26">
        <v>0</v>
      </c>
      <c r="S32" s="28"/>
      <c r="T32" s="26">
        <f>4355*10%+5000*2%</f>
        <v>535.5</v>
      </c>
      <c r="U32" s="27"/>
      <c r="V32" s="26">
        <f t="shared" si="1"/>
        <v>12419.426748000002</v>
      </c>
      <c r="W32" s="27"/>
      <c r="X32" s="26">
        <v>0</v>
      </c>
      <c r="Y32" s="28"/>
      <c r="Z32" s="26">
        <f>SUM('[1]SUMMARY BUDGET MOVES '!AR32:AT32)+'[1]SUMMARY BUDGET MOVES '!AM32</f>
        <v>0</v>
      </c>
      <c r="AA32" s="28"/>
      <c r="AB32" s="26">
        <f>4800*10%+5000*2.5%</f>
        <v>605</v>
      </c>
      <c r="AC32" s="27"/>
      <c r="AD32" s="26">
        <f t="shared" si="2"/>
        <v>13024.426748000002</v>
      </c>
      <c r="AE32" s="27"/>
      <c r="AF32" s="26">
        <v>0</v>
      </c>
      <c r="AG32" s="28"/>
      <c r="AH32" s="26">
        <f>5400*10%+5200*2%</f>
        <v>644</v>
      </c>
      <c r="AI32" s="27"/>
      <c r="AJ32" s="26">
        <f t="shared" si="3"/>
        <v>13668.426748000002</v>
      </c>
    </row>
    <row r="33" spans="1:36" ht="18">
      <c r="A33" s="5" t="s">
        <v>41</v>
      </c>
      <c r="B33" s="26">
        <f>'[1]SUMMARY BUDGET MOVES '!C33+'[1]SUMMARY BUDGET MOVES '!D33+'[1]SUMMARY BUDGET MOVES '!E33</f>
        <v>236.198</v>
      </c>
      <c r="C33" s="27"/>
      <c r="D33" s="26">
        <f>SUM('[1]SUMMARY BUDGET MOVES '!F33:N33)</f>
        <v>-50</v>
      </c>
      <c r="E33" s="27"/>
      <c r="F33" s="26">
        <f t="shared" si="4"/>
        <v>186.198</v>
      </c>
      <c r="G33" s="27"/>
      <c r="H33" s="26">
        <f>SUM('[1]SUMMARY BUDGET MOVES '!P33:S33)+SUM('[1]SUMMARY BUDGET MOVES '!X33:AA33)+'[1]SUMMARY BUDGET MOVES '!V33</f>
        <v>0</v>
      </c>
      <c r="I33" s="27"/>
      <c r="J33" s="26">
        <f>SUM('[1]SUMMARY BUDGET MOVES '!AB33:AD33)+'[1]SUMMARY BUDGET MOVES '!W33</f>
        <v>50</v>
      </c>
      <c r="K33" s="28"/>
      <c r="L33" s="26">
        <f>'[1]SUMMARY BUDGET MOVES '!AF33+'[1]SUMMARY BUDGET MOVES '!U33</f>
        <v>0</v>
      </c>
      <c r="M33" s="27"/>
      <c r="N33" s="26">
        <f t="shared" si="0"/>
        <v>236.198</v>
      </c>
      <c r="O33" s="27"/>
      <c r="P33" s="26">
        <v>0</v>
      </c>
      <c r="Q33" s="28"/>
      <c r="R33" s="26">
        <v>0</v>
      </c>
      <c r="S33" s="28"/>
      <c r="T33" s="26">
        <f aca="true" t="shared" si="6" ref="T33:T44">(N33*2%/12*5)+(N33*2%/12*5)*(2%/12*7)+(N33+P33)*2%/12*7</f>
        <v>4.746923694444444</v>
      </c>
      <c r="U33" s="27"/>
      <c r="V33" s="26">
        <f t="shared" si="1"/>
        <v>240.94492369444444</v>
      </c>
      <c r="W33" s="27"/>
      <c r="X33" s="26">
        <v>0</v>
      </c>
      <c r="Y33" s="28"/>
      <c r="Z33" s="26">
        <f>SUM('[1]SUMMARY BUDGET MOVES '!AR33:AT33)+'[1]SUMMARY BUDGET MOVES '!AM33</f>
        <v>0</v>
      </c>
      <c r="AA33" s="28"/>
      <c r="AB33" s="26">
        <f aca="true" t="shared" si="7" ref="AB33:AB44">(V33*2%/12*5)+(V33*2%/12*5)*(2%/12*7)+(V33+X33)*2%/12*7</f>
        <v>4.842323674803627</v>
      </c>
      <c r="AC33" s="27"/>
      <c r="AD33" s="26">
        <f t="shared" si="2"/>
        <v>245.78724736924806</v>
      </c>
      <c r="AE33" s="27"/>
      <c r="AF33" s="26">
        <v>0</v>
      </c>
      <c r="AG33" s="28"/>
      <c r="AH33" s="26">
        <f aca="true" t="shared" si="8" ref="AH33:AH44">(AD33*2%/12*5)+(AD33*2%/12*5)*(2%/12*7)+(AD33+AF33)*2%/12*7</f>
        <v>4.939640929768083</v>
      </c>
      <c r="AI33" s="27"/>
      <c r="AJ33" s="26">
        <f t="shared" si="3"/>
        <v>250.72688829901614</v>
      </c>
    </row>
    <row r="34" spans="1:36" ht="18">
      <c r="A34" s="5" t="s">
        <v>42</v>
      </c>
      <c r="B34" s="26">
        <f>'[1]SUMMARY BUDGET MOVES '!C34+'[1]SUMMARY BUDGET MOVES '!D34+'[1]SUMMARY BUDGET MOVES '!E34</f>
        <v>242.176</v>
      </c>
      <c r="C34" s="27"/>
      <c r="D34" s="26">
        <f>SUM('[1]SUMMARY BUDGET MOVES '!F34:N34)</f>
        <v>0</v>
      </c>
      <c r="E34" s="27"/>
      <c r="F34" s="26">
        <f t="shared" si="4"/>
        <v>242.176</v>
      </c>
      <c r="G34" s="27"/>
      <c r="H34" s="26">
        <f>SUM('[1]SUMMARY BUDGET MOVES '!P34:S34)+SUM('[1]SUMMARY BUDGET MOVES '!X34:AA34)+'[1]SUMMARY BUDGET MOVES '!V34</f>
        <v>0</v>
      </c>
      <c r="I34" s="27"/>
      <c r="J34" s="26">
        <f>SUM('[1]SUMMARY BUDGET MOVES '!AB34:AD34)+'[1]SUMMARY BUDGET MOVES '!W34</f>
        <v>0</v>
      </c>
      <c r="K34" s="28"/>
      <c r="L34" s="26">
        <f>'[1]SUMMARY BUDGET MOVES '!AF34+'[1]SUMMARY BUDGET MOVES '!U34</f>
        <v>0</v>
      </c>
      <c r="M34" s="27"/>
      <c r="N34" s="26">
        <f t="shared" si="0"/>
        <v>242.176</v>
      </c>
      <c r="O34" s="27"/>
      <c r="P34" s="26">
        <v>0</v>
      </c>
      <c r="Q34" s="28"/>
      <c r="R34" s="26">
        <v>0</v>
      </c>
      <c r="S34" s="28"/>
      <c r="T34" s="26">
        <f t="shared" si="6"/>
        <v>4.867064888888889</v>
      </c>
      <c r="U34" s="27"/>
      <c r="V34" s="26">
        <f t="shared" si="1"/>
        <v>247.04306488888886</v>
      </c>
      <c r="W34" s="27"/>
      <c r="X34" s="26">
        <v>0</v>
      </c>
      <c r="Y34" s="28"/>
      <c r="Z34" s="26">
        <f>SUM('[1]SUMMARY BUDGET MOVES '!AR34:AT34)+'[1]SUMMARY BUDGET MOVES '!AM34</f>
        <v>0</v>
      </c>
      <c r="AA34" s="28"/>
      <c r="AB34" s="26">
        <f t="shared" si="7"/>
        <v>4.964879373530865</v>
      </c>
      <c r="AC34" s="27"/>
      <c r="AD34" s="26">
        <f t="shared" si="2"/>
        <v>252.00794426241973</v>
      </c>
      <c r="AE34" s="27"/>
      <c r="AF34" s="26">
        <v>0</v>
      </c>
      <c r="AG34" s="28"/>
      <c r="AH34" s="26">
        <f t="shared" si="8"/>
        <v>5.0646596576072405</v>
      </c>
      <c r="AI34" s="27"/>
      <c r="AJ34" s="26">
        <f t="shared" si="3"/>
        <v>257.07260392002695</v>
      </c>
    </row>
    <row r="35" spans="1:36" ht="18">
      <c r="A35" s="5" t="s">
        <v>43</v>
      </c>
      <c r="B35" s="26">
        <f>'[1]SUMMARY BUDGET MOVES '!C35+'[1]SUMMARY BUDGET MOVES '!D35+'[1]SUMMARY BUDGET MOVES '!E35</f>
        <v>70</v>
      </c>
      <c r="C35" s="27"/>
      <c r="D35" s="26">
        <f>SUM('[1]SUMMARY BUDGET MOVES '!F35:N35)</f>
        <v>0</v>
      </c>
      <c r="E35" s="27"/>
      <c r="F35" s="26">
        <f t="shared" si="4"/>
        <v>70</v>
      </c>
      <c r="G35" s="27"/>
      <c r="H35" s="26">
        <f>SUM('[1]SUMMARY BUDGET MOVES '!P35:S35)+SUM('[1]SUMMARY BUDGET MOVES '!X35:AA35)+'[1]SUMMARY BUDGET MOVES '!V35</f>
        <v>0</v>
      </c>
      <c r="I35" s="27"/>
      <c r="J35" s="26">
        <f>SUM('[1]SUMMARY BUDGET MOVES '!AB35:AD35)+'[1]SUMMARY BUDGET MOVES '!W35</f>
        <v>0</v>
      </c>
      <c r="K35" s="28"/>
      <c r="L35" s="26">
        <f>'[1]SUMMARY BUDGET MOVES '!AF35+'[1]SUMMARY BUDGET MOVES '!U35</f>
        <v>1.4000000000000001</v>
      </c>
      <c r="M35" s="27"/>
      <c r="N35" s="26">
        <f t="shared" si="0"/>
        <v>71.4</v>
      </c>
      <c r="O35" s="27"/>
      <c r="P35" s="26">
        <v>0</v>
      </c>
      <c r="Q35" s="28"/>
      <c r="R35" s="26">
        <v>0</v>
      </c>
      <c r="S35" s="28"/>
      <c r="T35" s="26">
        <f t="shared" si="6"/>
        <v>1.4349416666666668</v>
      </c>
      <c r="U35" s="27"/>
      <c r="V35" s="26">
        <f t="shared" si="1"/>
        <v>72.83494166666667</v>
      </c>
      <c r="W35" s="27"/>
      <c r="X35" s="26">
        <v>0</v>
      </c>
      <c r="Y35" s="28"/>
      <c r="Z35" s="26">
        <f>SUM('[1]SUMMARY BUDGET MOVES '!AR35:AT35)+'[1]SUMMARY BUDGET MOVES '!AM35</f>
        <v>0</v>
      </c>
      <c r="AA35" s="28"/>
      <c r="AB35" s="26">
        <f t="shared" si="7"/>
        <v>1.4637800082175927</v>
      </c>
      <c r="AC35" s="27"/>
      <c r="AD35" s="26">
        <f t="shared" si="2"/>
        <v>74.29872167488426</v>
      </c>
      <c r="AE35" s="27"/>
      <c r="AF35" s="26">
        <v>0</v>
      </c>
      <c r="AG35" s="28"/>
      <c r="AH35" s="26">
        <f t="shared" si="8"/>
        <v>1.493197920327188</v>
      </c>
      <c r="AI35" s="27"/>
      <c r="AJ35" s="26">
        <f t="shared" si="3"/>
        <v>75.79191959521145</v>
      </c>
    </row>
    <row r="36" spans="1:36" ht="18">
      <c r="A36" s="5" t="s">
        <v>44</v>
      </c>
      <c r="B36" s="26">
        <f>'[1]SUMMARY BUDGET MOVES '!C36+'[1]SUMMARY BUDGET MOVES '!D36+'[1]SUMMARY BUDGET MOVES '!E36</f>
        <v>131.329</v>
      </c>
      <c r="C36" s="27"/>
      <c r="D36" s="26">
        <f>SUM('[1]SUMMARY BUDGET MOVES '!F36:N36)</f>
        <v>0</v>
      </c>
      <c r="E36" s="27"/>
      <c r="F36" s="26">
        <f t="shared" si="4"/>
        <v>131.329</v>
      </c>
      <c r="G36" s="27"/>
      <c r="H36" s="26">
        <f>SUM('[1]SUMMARY BUDGET MOVES '!P36:S36)+SUM('[1]SUMMARY BUDGET MOVES '!X36:AA36)+'[1]SUMMARY BUDGET MOVES '!V36</f>
        <v>0</v>
      </c>
      <c r="I36" s="27"/>
      <c r="J36" s="26">
        <f>SUM('[1]SUMMARY BUDGET MOVES '!AB36:AD36)+'[1]SUMMARY BUDGET MOVES '!W36</f>
        <v>0</v>
      </c>
      <c r="K36" s="28"/>
      <c r="L36" s="26">
        <f>'[1]SUMMARY BUDGET MOVES '!AF36+'[1]SUMMARY BUDGET MOVES '!U36</f>
        <v>0</v>
      </c>
      <c r="M36" s="27"/>
      <c r="N36" s="26">
        <f t="shared" si="0"/>
        <v>131.329</v>
      </c>
      <c r="O36" s="27"/>
      <c r="P36" s="26">
        <v>0</v>
      </c>
      <c r="Q36" s="28"/>
      <c r="R36" s="26">
        <v>0</v>
      </c>
      <c r="S36" s="28"/>
      <c r="T36" s="26">
        <f t="shared" si="6"/>
        <v>2.6393480972222223</v>
      </c>
      <c r="U36" s="27"/>
      <c r="V36" s="26">
        <f t="shared" si="1"/>
        <v>133.96834809722222</v>
      </c>
      <c r="W36" s="27"/>
      <c r="X36" s="26">
        <v>0</v>
      </c>
      <c r="Y36" s="28"/>
      <c r="Z36" s="26">
        <f>SUM('[1]SUMMARY BUDGET MOVES '!AR36:AT36)+'[1]SUMMARY BUDGET MOVES '!AM36</f>
        <v>0</v>
      </c>
      <c r="AA36" s="28"/>
      <c r="AB36" s="26">
        <f t="shared" si="7"/>
        <v>2.692391662453897</v>
      </c>
      <c r="AC36" s="27"/>
      <c r="AD36" s="26">
        <f t="shared" si="2"/>
        <v>136.66073975967612</v>
      </c>
      <c r="AE36" s="27"/>
      <c r="AF36" s="26">
        <v>0</v>
      </c>
      <c r="AG36" s="28"/>
      <c r="AH36" s="26">
        <f t="shared" si="8"/>
        <v>2.7465012560034907</v>
      </c>
      <c r="AI36" s="27"/>
      <c r="AJ36" s="26">
        <f t="shared" si="3"/>
        <v>139.4072410156796</v>
      </c>
    </row>
    <row r="37" spans="1:36" ht="18">
      <c r="A37" s="5" t="s">
        <v>45</v>
      </c>
      <c r="B37" s="26">
        <f>'[1]SUMMARY BUDGET MOVES '!C37+'[1]SUMMARY BUDGET MOVES '!D37+'[1]SUMMARY BUDGET MOVES '!E37</f>
        <v>3055.263999999999</v>
      </c>
      <c r="C37" s="27"/>
      <c r="D37" s="26">
        <f>SUM('[1]SUMMARY BUDGET MOVES '!F37:N37)</f>
        <v>-230</v>
      </c>
      <c r="E37" s="27"/>
      <c r="F37" s="26">
        <f t="shared" si="4"/>
        <v>2825.263999999999</v>
      </c>
      <c r="G37" s="27"/>
      <c r="H37" s="26">
        <f>SUM('[1]SUMMARY BUDGET MOVES '!P37:S37)+SUM('[1]SUMMARY BUDGET MOVES '!X37:AA37)+'[1]SUMMARY BUDGET MOVES '!V37</f>
        <v>0</v>
      </c>
      <c r="I37" s="27"/>
      <c r="J37" s="26">
        <f>SUM('[1]SUMMARY BUDGET MOVES '!AB37:AD37)+'[1]SUMMARY BUDGET MOVES '!W37</f>
        <v>226</v>
      </c>
      <c r="K37" s="28"/>
      <c r="L37" s="26">
        <f>'[1]SUMMARY BUDGET MOVES '!AF37+'[1]SUMMARY BUDGET MOVES '!U37</f>
        <v>10.796539999999998</v>
      </c>
      <c r="M37" s="27"/>
      <c r="N37" s="26">
        <f t="shared" si="0"/>
        <v>3062.060539999999</v>
      </c>
      <c r="O37" s="27" t="s">
        <v>0</v>
      </c>
      <c r="P37" s="26">
        <v>0</v>
      </c>
      <c r="Q37" s="28"/>
      <c r="R37" s="26">
        <v>0</v>
      </c>
      <c r="S37" s="28"/>
      <c r="T37" s="26">
        <f t="shared" si="6"/>
        <v>61.53891113027777</v>
      </c>
      <c r="U37" s="27"/>
      <c r="V37" s="26">
        <f t="shared" si="1"/>
        <v>3123.599451130277</v>
      </c>
      <c r="W37" s="27"/>
      <c r="X37" s="26">
        <v>0</v>
      </c>
      <c r="Y37" s="28"/>
      <c r="Z37" s="26">
        <f>SUM('[1]SUMMARY BUDGET MOVES '!AR37:AT37)+'[1]SUMMARY BUDGET MOVES '!AM37</f>
        <v>0</v>
      </c>
      <c r="AA37" s="28"/>
      <c r="AB37" s="26">
        <f t="shared" si="7"/>
        <v>62.775672302576545</v>
      </c>
      <c r="AC37" s="27"/>
      <c r="AD37" s="26">
        <f t="shared" si="2"/>
        <v>3186.3751234328533</v>
      </c>
      <c r="AE37" s="27"/>
      <c r="AF37" s="26">
        <v>0</v>
      </c>
      <c r="AG37" s="28"/>
      <c r="AH37" s="26">
        <f t="shared" si="8"/>
        <v>64.03728893899083</v>
      </c>
      <c r="AI37" s="27"/>
      <c r="AJ37" s="26">
        <f t="shared" si="3"/>
        <v>3250.4124123718443</v>
      </c>
    </row>
    <row r="38" spans="1:36" ht="18">
      <c r="A38" s="5" t="s">
        <v>46</v>
      </c>
      <c r="B38" s="26">
        <f>'[1]SUMMARY BUDGET MOVES '!C38+'[1]SUMMARY BUDGET MOVES '!D38+'[1]SUMMARY BUDGET MOVES '!E38</f>
        <v>1015.741</v>
      </c>
      <c r="C38" s="27"/>
      <c r="D38" s="26">
        <f>SUM('[1]SUMMARY BUDGET MOVES '!F38:N38)</f>
        <v>0</v>
      </c>
      <c r="E38" s="27"/>
      <c r="F38" s="26">
        <f t="shared" si="4"/>
        <v>1015.741</v>
      </c>
      <c r="G38" s="27"/>
      <c r="H38" s="26">
        <f>SUM('[1]SUMMARY BUDGET MOVES '!P38:S38)+SUM('[1]SUMMARY BUDGET MOVES '!X38:AA38)+'[1]SUMMARY BUDGET MOVES '!V38</f>
        <v>0</v>
      </c>
      <c r="I38" s="27"/>
      <c r="J38" s="26">
        <f>SUM('[1]SUMMARY BUDGET MOVES '!AB38:AD38)+'[1]SUMMARY BUDGET MOVES '!W38</f>
        <v>0</v>
      </c>
      <c r="K38" s="28"/>
      <c r="L38" s="26">
        <f>'[1]SUMMARY BUDGET MOVES '!AF38+'[1]SUMMARY BUDGET MOVES '!U38</f>
        <v>0</v>
      </c>
      <c r="M38" s="27"/>
      <c r="N38" s="26">
        <f t="shared" si="0"/>
        <v>1015.741</v>
      </c>
      <c r="O38" s="27"/>
      <c r="P38" s="26">
        <v>0</v>
      </c>
      <c r="Q38" s="28"/>
      <c r="R38" s="26">
        <v>0</v>
      </c>
      <c r="S38" s="28"/>
      <c r="T38" s="26">
        <f t="shared" si="6"/>
        <v>20.413572597222224</v>
      </c>
      <c r="U38" s="27"/>
      <c r="V38" s="26">
        <f t="shared" si="1"/>
        <v>1036.154572597222</v>
      </c>
      <c r="W38" s="27"/>
      <c r="X38" s="26">
        <v>0</v>
      </c>
      <c r="Y38" s="28"/>
      <c r="Z38" s="26">
        <f>SUM('[1]SUMMARY BUDGET MOVES '!AR38:AT38)+'[1]SUMMARY BUDGET MOVES '!AM38</f>
        <v>0</v>
      </c>
      <c r="AA38" s="28"/>
      <c r="AB38" s="26">
        <f t="shared" si="7"/>
        <v>20.82382870205806</v>
      </c>
      <c r="AC38" s="27"/>
      <c r="AD38" s="26">
        <f t="shared" si="2"/>
        <v>1056.9784012992802</v>
      </c>
      <c r="AE38" s="27"/>
      <c r="AF38" s="26">
        <v>0</v>
      </c>
      <c r="AG38" s="28"/>
      <c r="AH38" s="26">
        <f t="shared" si="8"/>
        <v>21.242329815000815</v>
      </c>
      <c r="AI38" s="27"/>
      <c r="AJ38" s="26">
        <f t="shared" si="3"/>
        <v>1078.220731114281</v>
      </c>
    </row>
    <row r="39" spans="1:36" ht="18">
      <c r="A39" s="5" t="s">
        <v>47</v>
      </c>
      <c r="B39" s="26">
        <f>'[1]SUMMARY BUDGET MOVES '!C39+'[1]SUMMARY BUDGET MOVES '!D39+'[1]SUMMARY BUDGET MOVES '!E39</f>
        <v>544.9259999999999</v>
      </c>
      <c r="C39" s="27"/>
      <c r="D39" s="26">
        <f>SUM('[1]SUMMARY BUDGET MOVES '!F39:N39)</f>
        <v>-50</v>
      </c>
      <c r="E39" s="27"/>
      <c r="F39" s="26">
        <f t="shared" si="4"/>
        <v>494.92599999999993</v>
      </c>
      <c r="G39" s="27"/>
      <c r="H39" s="26">
        <f>SUM('[1]SUMMARY BUDGET MOVES '!P39:S39)+SUM('[1]SUMMARY BUDGET MOVES '!X39:AA39)+'[1]SUMMARY BUDGET MOVES '!V39</f>
        <v>0</v>
      </c>
      <c r="I39" s="27"/>
      <c r="J39" s="26">
        <f>SUM('[1]SUMMARY BUDGET MOVES '!AB39:AD39)+'[1]SUMMARY BUDGET MOVES '!W39</f>
        <v>50</v>
      </c>
      <c r="K39" s="28"/>
      <c r="L39" s="26">
        <f>'[1]SUMMARY BUDGET MOVES '!AF39+'[1]SUMMARY BUDGET MOVES '!U39</f>
        <v>0</v>
      </c>
      <c r="M39" s="27"/>
      <c r="N39" s="26">
        <f t="shared" si="0"/>
        <v>544.9259999999999</v>
      </c>
      <c r="O39" s="27"/>
      <c r="P39" s="26">
        <v>0</v>
      </c>
      <c r="Q39" s="28"/>
      <c r="R39" s="26">
        <v>0</v>
      </c>
      <c r="S39" s="28"/>
      <c r="T39" s="26">
        <f t="shared" si="6"/>
        <v>10.951498916666665</v>
      </c>
      <c r="U39" s="27"/>
      <c r="V39" s="26">
        <f t="shared" si="1"/>
        <v>555.8774989166666</v>
      </c>
      <c r="W39" s="27"/>
      <c r="X39" s="26">
        <v>0</v>
      </c>
      <c r="Y39" s="28"/>
      <c r="Z39" s="26">
        <f>SUM('[1]SUMMARY BUDGET MOVES '!AR39:AT39)+'[1]SUMMARY BUDGET MOVES '!AM39</f>
        <v>0</v>
      </c>
      <c r="AA39" s="28"/>
      <c r="AB39" s="26">
        <f t="shared" si="7"/>
        <v>11.171593624061341</v>
      </c>
      <c r="AC39" s="27"/>
      <c r="AD39" s="26">
        <f t="shared" si="2"/>
        <v>567.0490925407279</v>
      </c>
      <c r="AE39" s="27"/>
      <c r="AF39" s="26">
        <v>0</v>
      </c>
      <c r="AG39" s="28"/>
      <c r="AH39" s="26">
        <f t="shared" si="8"/>
        <v>11.396111623700463</v>
      </c>
      <c r="AI39" s="27"/>
      <c r="AJ39" s="26">
        <f t="shared" si="3"/>
        <v>578.4452041644283</v>
      </c>
    </row>
    <row r="40" spans="1:36" ht="18">
      <c r="A40" s="5" t="s">
        <v>48</v>
      </c>
      <c r="B40" s="26">
        <f>'[1]SUMMARY BUDGET MOVES '!C40+'[1]SUMMARY BUDGET MOVES '!D40+'[1]SUMMARY BUDGET MOVES '!E40</f>
        <v>351.701</v>
      </c>
      <c r="C40" s="27"/>
      <c r="D40" s="26">
        <f>SUM('[1]SUMMARY BUDGET MOVES '!F40:N40)</f>
        <v>-50</v>
      </c>
      <c r="E40" s="27"/>
      <c r="F40" s="26">
        <f t="shared" si="4"/>
        <v>301.701</v>
      </c>
      <c r="G40" s="27"/>
      <c r="H40" s="26">
        <f>SUM('[1]SUMMARY BUDGET MOVES '!P40:S40)+SUM('[1]SUMMARY BUDGET MOVES '!X40:AA40)+'[1]SUMMARY BUDGET MOVES '!V40</f>
        <v>0</v>
      </c>
      <c r="I40" s="27"/>
      <c r="J40" s="26">
        <f>SUM('[1]SUMMARY BUDGET MOVES '!AB40:AD40)+'[1]SUMMARY BUDGET MOVES '!W40</f>
        <v>50</v>
      </c>
      <c r="K40" s="28"/>
      <c r="L40" s="26">
        <f>'[1]SUMMARY BUDGET MOVES '!AF40+'[1]SUMMARY BUDGET MOVES '!U40</f>
        <v>0</v>
      </c>
      <c r="M40" s="27"/>
      <c r="N40" s="26">
        <f t="shared" si="0"/>
        <v>351.701</v>
      </c>
      <c r="O40" s="27"/>
      <c r="P40" s="26">
        <v>0</v>
      </c>
      <c r="Q40" s="28"/>
      <c r="R40" s="26">
        <v>0</v>
      </c>
      <c r="S40" s="28"/>
      <c r="T40" s="26">
        <f t="shared" si="6"/>
        <v>7.068213152777778</v>
      </c>
      <c r="U40" s="27"/>
      <c r="V40" s="26">
        <f t="shared" si="1"/>
        <v>358.7692131527778</v>
      </c>
      <c r="W40" s="27"/>
      <c r="X40" s="26">
        <v>0</v>
      </c>
      <c r="Y40" s="28"/>
      <c r="Z40" s="26">
        <f>SUM('[1]SUMMARY BUDGET MOVES '!AR40:AT40)+'[1]SUMMARY BUDGET MOVES '!AM40</f>
        <v>0</v>
      </c>
      <c r="AA40" s="28"/>
      <c r="AB40" s="26">
        <f t="shared" si="7"/>
        <v>7.210264603223187</v>
      </c>
      <c r="AC40" s="27"/>
      <c r="AD40" s="26">
        <f t="shared" si="2"/>
        <v>365.979477756001</v>
      </c>
      <c r="AE40" s="27"/>
      <c r="AF40" s="26">
        <v>0</v>
      </c>
      <c r="AG40" s="28"/>
      <c r="AH40" s="26">
        <f t="shared" si="8"/>
        <v>7.3551708932351865</v>
      </c>
      <c r="AI40" s="27"/>
      <c r="AJ40" s="26">
        <f t="shared" si="3"/>
        <v>373.3346486492362</v>
      </c>
    </row>
    <row r="41" spans="1:36" ht="18">
      <c r="A41" s="5" t="s">
        <v>49</v>
      </c>
      <c r="B41" s="26">
        <f>'[1]SUMMARY BUDGET MOVES '!C41+'[1]SUMMARY BUDGET MOVES '!D41+'[1]SUMMARY BUDGET MOVES '!E41</f>
        <v>684.2090000000001</v>
      </c>
      <c r="C41" s="27"/>
      <c r="D41" s="26">
        <f>SUM('[1]SUMMARY BUDGET MOVES '!F41:N41)</f>
        <v>0</v>
      </c>
      <c r="E41" s="27"/>
      <c r="F41" s="26">
        <f t="shared" si="4"/>
        <v>684.2090000000001</v>
      </c>
      <c r="G41" s="27"/>
      <c r="H41" s="26">
        <f>SUM('[1]SUMMARY BUDGET MOVES '!P41:S41)+SUM('[1]SUMMARY BUDGET MOVES '!X41:AA41)+'[1]SUMMARY BUDGET MOVES '!V41</f>
        <v>0</v>
      </c>
      <c r="I41" s="27"/>
      <c r="J41" s="26">
        <f>SUM('[1]SUMMARY BUDGET MOVES '!AB41:AD41)+'[1]SUMMARY BUDGET MOVES '!W41</f>
        <v>0</v>
      </c>
      <c r="K41" s="28"/>
      <c r="L41" s="26">
        <f>'[1]SUMMARY BUDGET MOVES '!AF41+'[1]SUMMARY BUDGET MOVES '!U41</f>
        <v>0</v>
      </c>
      <c r="M41" s="27"/>
      <c r="N41" s="26">
        <f t="shared" si="0"/>
        <v>684.2090000000001</v>
      </c>
      <c r="O41" s="27"/>
      <c r="P41" s="26">
        <v>0</v>
      </c>
      <c r="Q41" s="28"/>
      <c r="R41" s="26">
        <v>0</v>
      </c>
      <c r="S41" s="28"/>
      <c r="T41" s="26">
        <f t="shared" si="6"/>
        <v>13.750700319444448</v>
      </c>
      <c r="U41" s="27"/>
      <c r="V41" s="26">
        <f t="shared" si="1"/>
        <v>697.9597003194446</v>
      </c>
      <c r="W41" s="27"/>
      <c r="X41" s="26">
        <v>0</v>
      </c>
      <c r="Y41" s="28"/>
      <c r="Z41" s="26">
        <f>SUM('[1]SUMMARY BUDGET MOVES '!AR41:AT41)+'[1]SUMMARY BUDGET MOVES '!AM41</f>
        <v>0</v>
      </c>
      <c r="AA41" s="28"/>
      <c r="AB41" s="26">
        <f t="shared" si="7"/>
        <v>14.027051199475505</v>
      </c>
      <c r="AC41" s="27"/>
      <c r="AD41" s="26">
        <f t="shared" si="2"/>
        <v>711.9867515189201</v>
      </c>
      <c r="AE41" s="27"/>
      <c r="AF41" s="26">
        <v>0</v>
      </c>
      <c r="AG41" s="28"/>
      <c r="AH41" s="26">
        <f t="shared" si="8"/>
        <v>14.308955964553853</v>
      </c>
      <c r="AI41" s="27"/>
      <c r="AJ41" s="26">
        <f t="shared" si="3"/>
        <v>726.295707483474</v>
      </c>
    </row>
    <row r="42" spans="1:36" ht="18">
      <c r="A42" s="5" t="s">
        <v>50</v>
      </c>
      <c r="B42" s="26">
        <f>'[1]SUMMARY BUDGET MOVES '!C42+'[1]SUMMARY BUDGET MOVES '!D42+'[1]SUMMARY BUDGET MOVES '!E42</f>
        <v>176</v>
      </c>
      <c r="C42" s="27"/>
      <c r="D42" s="26">
        <f>SUM('[1]SUMMARY BUDGET MOVES '!F42:N42)</f>
        <v>0</v>
      </c>
      <c r="E42" s="27"/>
      <c r="F42" s="26">
        <f t="shared" si="4"/>
        <v>176</v>
      </c>
      <c r="G42" s="27"/>
      <c r="H42" s="26">
        <f>SUM('[1]SUMMARY BUDGET MOVES '!P42:S42)+SUM('[1]SUMMARY BUDGET MOVES '!X42:AA42)+'[1]SUMMARY BUDGET MOVES '!V42</f>
        <v>0</v>
      </c>
      <c r="I42" s="27"/>
      <c r="J42" s="26">
        <f>SUM('[1]SUMMARY BUDGET MOVES '!AB42:AD42)+'[1]SUMMARY BUDGET MOVES '!W42</f>
        <v>0</v>
      </c>
      <c r="K42" s="28"/>
      <c r="L42" s="26">
        <f>'[1]SUMMARY BUDGET MOVES '!AF42+'[1]SUMMARY BUDGET MOVES '!U42</f>
        <v>3.52</v>
      </c>
      <c r="M42" s="27"/>
      <c r="N42" s="26">
        <f t="shared" si="0"/>
        <v>179.52</v>
      </c>
      <c r="O42" s="27"/>
      <c r="P42" s="26">
        <v>0</v>
      </c>
      <c r="Q42" s="28"/>
      <c r="R42" s="26">
        <v>0</v>
      </c>
      <c r="S42" s="28"/>
      <c r="T42" s="26">
        <f t="shared" si="6"/>
        <v>3.607853333333334</v>
      </c>
      <c r="U42" s="27"/>
      <c r="V42" s="26">
        <f t="shared" si="1"/>
        <v>183.12785333333335</v>
      </c>
      <c r="W42" s="27"/>
      <c r="X42" s="26">
        <v>0</v>
      </c>
      <c r="Y42" s="28"/>
      <c r="Z42" s="26">
        <f>SUM('[1]SUMMARY BUDGET MOVES '!AR42:AT42)+'[1]SUMMARY BUDGET MOVES '!AM42</f>
        <v>0</v>
      </c>
      <c r="AA42" s="28"/>
      <c r="AB42" s="26">
        <f t="shared" si="7"/>
        <v>3.680361163518519</v>
      </c>
      <c r="AC42" s="27"/>
      <c r="AD42" s="26">
        <f t="shared" si="2"/>
        <v>186.80821449685186</v>
      </c>
      <c r="AE42" s="27"/>
      <c r="AF42" s="26">
        <v>0</v>
      </c>
      <c r="AG42" s="28"/>
      <c r="AH42" s="26">
        <f t="shared" si="8"/>
        <v>3.7543261996797863</v>
      </c>
      <c r="AI42" s="27"/>
      <c r="AJ42" s="26">
        <f t="shared" si="3"/>
        <v>190.56254069653164</v>
      </c>
    </row>
    <row r="43" spans="1:36" ht="18">
      <c r="A43" s="5" t="s">
        <v>51</v>
      </c>
      <c r="B43" s="26">
        <f>'[1]SUMMARY BUDGET MOVES '!C43+'[1]SUMMARY BUDGET MOVES '!D43+'[1]SUMMARY BUDGET MOVES '!E43</f>
        <v>529.571</v>
      </c>
      <c r="C43" s="27"/>
      <c r="D43" s="26">
        <f>SUM('[1]SUMMARY BUDGET MOVES '!F43:N43)</f>
        <v>0</v>
      </c>
      <c r="E43" s="27"/>
      <c r="F43" s="26">
        <f t="shared" si="4"/>
        <v>529.571</v>
      </c>
      <c r="G43" s="27"/>
      <c r="H43" s="26">
        <f>SUM('[1]SUMMARY BUDGET MOVES '!P43:S43)+SUM('[1]SUMMARY BUDGET MOVES '!X43:AA43)+'[1]SUMMARY BUDGET MOVES '!V43</f>
        <v>0</v>
      </c>
      <c r="I43" s="27"/>
      <c r="J43" s="26">
        <f>SUM('[1]SUMMARY BUDGET MOVES '!AB43:AD43)+'[1]SUMMARY BUDGET MOVES '!W43</f>
        <v>0</v>
      </c>
      <c r="K43" s="28"/>
      <c r="L43" s="26">
        <f>'[1]SUMMARY BUDGET MOVES '!AF43+'[1]SUMMARY BUDGET MOVES '!U43</f>
        <v>10.591420000000001</v>
      </c>
      <c r="M43" s="27"/>
      <c r="N43" s="26">
        <f t="shared" si="0"/>
        <v>540.16242</v>
      </c>
      <c r="O43" s="27"/>
      <c r="P43" s="26">
        <v>0</v>
      </c>
      <c r="Q43" s="28"/>
      <c r="R43" s="26">
        <v>0</v>
      </c>
      <c r="S43" s="28"/>
      <c r="T43" s="26">
        <f t="shared" si="6"/>
        <v>10.855764190833334</v>
      </c>
      <c r="U43" s="27"/>
      <c r="V43" s="26">
        <f t="shared" si="1"/>
        <v>551.0181841908334</v>
      </c>
      <c r="W43" s="27"/>
      <c r="X43" s="26">
        <v>0</v>
      </c>
      <c r="Y43" s="28"/>
      <c r="Z43" s="26">
        <f>SUM('[1]SUMMARY BUDGET MOVES '!AR43:AT43)+'[1]SUMMARY BUDGET MOVES '!AM43</f>
        <v>0</v>
      </c>
      <c r="AA43" s="28"/>
      <c r="AB43" s="26">
        <f t="shared" si="7"/>
        <v>11.073934896168554</v>
      </c>
      <c r="AC43" s="27"/>
      <c r="AD43" s="26">
        <f t="shared" si="2"/>
        <v>562.092119087002</v>
      </c>
      <c r="AE43" s="27"/>
      <c r="AF43" s="26">
        <v>0</v>
      </c>
      <c r="AG43" s="28"/>
      <c r="AH43" s="26">
        <f t="shared" si="8"/>
        <v>11.296490226651274</v>
      </c>
      <c r="AI43" s="27"/>
      <c r="AJ43" s="26">
        <f t="shared" si="3"/>
        <v>573.3886093136532</v>
      </c>
    </row>
    <row r="44" spans="1:36" ht="18">
      <c r="A44" s="5" t="s">
        <v>52</v>
      </c>
      <c r="B44" s="26">
        <f>'[1]SUMMARY BUDGET MOVES '!C44+'[1]SUMMARY BUDGET MOVES '!D44+'[1]SUMMARY BUDGET MOVES '!E44</f>
        <v>1726.884</v>
      </c>
      <c r="C44" s="27"/>
      <c r="D44" s="26">
        <f>SUM('[1]SUMMARY BUDGET MOVES '!F44:N44)</f>
        <v>0</v>
      </c>
      <c r="E44" s="27"/>
      <c r="F44" s="26">
        <f t="shared" si="4"/>
        <v>1726.884</v>
      </c>
      <c r="G44" s="27"/>
      <c r="H44" s="26">
        <f>SUM('[1]SUMMARY BUDGET MOVES '!P44:S44)+SUM('[1]SUMMARY BUDGET MOVES '!X44:AA44)+'[1]SUMMARY BUDGET MOVES '!V44</f>
        <v>-45</v>
      </c>
      <c r="I44" s="27"/>
      <c r="J44" s="26">
        <f>SUM('[1]SUMMARY BUDGET MOVES '!AB44:AD44)+'[1]SUMMARY BUDGET MOVES '!W44</f>
        <v>0</v>
      </c>
      <c r="K44" s="28"/>
      <c r="L44" s="26">
        <f>'[1]SUMMARY BUDGET MOVES '!AF44+'[1]SUMMARY BUDGET MOVES '!U44</f>
        <v>33.637679999999996</v>
      </c>
      <c r="M44" s="27"/>
      <c r="N44" s="26">
        <f t="shared" si="0"/>
        <v>1715.52168</v>
      </c>
      <c r="O44" s="27"/>
      <c r="P44" s="26">
        <v>0</v>
      </c>
      <c r="Q44" s="28"/>
      <c r="R44" s="26">
        <v>0</v>
      </c>
      <c r="S44" s="28"/>
      <c r="T44" s="26">
        <f t="shared" si="6"/>
        <v>34.47722043</v>
      </c>
      <c r="U44" s="27"/>
      <c r="V44" s="26">
        <f t="shared" si="1"/>
        <v>1749.99890043</v>
      </c>
      <c r="W44" s="27"/>
      <c r="X44" s="26">
        <v>0</v>
      </c>
      <c r="Y44" s="28"/>
      <c r="Z44" s="26">
        <f>SUM('[1]SUMMARY BUDGET MOVES '!AR44:AT44)+'[1]SUMMARY BUDGET MOVES '!AM44</f>
        <v>0</v>
      </c>
      <c r="AA44" s="28"/>
      <c r="AB44" s="26">
        <f t="shared" si="7"/>
        <v>35.17011679058625</v>
      </c>
      <c r="AC44" s="27"/>
      <c r="AD44" s="26">
        <f t="shared" si="2"/>
        <v>1785.1690172205863</v>
      </c>
      <c r="AE44" s="27"/>
      <c r="AF44" s="26">
        <v>0</v>
      </c>
      <c r="AG44" s="28"/>
      <c r="AH44" s="26">
        <f t="shared" si="8"/>
        <v>35.87693844330817</v>
      </c>
      <c r="AI44" s="27"/>
      <c r="AJ44" s="26">
        <f t="shared" si="3"/>
        <v>1821.0459556638943</v>
      </c>
    </row>
    <row r="45" spans="1:36" ht="18">
      <c r="A45" s="5" t="s">
        <v>53</v>
      </c>
      <c r="B45" s="26">
        <f>'[1]SUMMARY BUDGET MOVES '!C45+'[1]SUMMARY BUDGET MOVES '!D45+'[1]SUMMARY BUDGET MOVES '!E45</f>
        <v>1612</v>
      </c>
      <c r="C45" s="27"/>
      <c r="D45" s="26">
        <f>SUM('[1]SUMMARY BUDGET MOVES '!F45:N45)</f>
        <v>0</v>
      </c>
      <c r="E45" s="27"/>
      <c r="F45" s="26">
        <f t="shared" si="4"/>
        <v>1612</v>
      </c>
      <c r="G45" s="27"/>
      <c r="H45" s="26">
        <f>SUM('[1]SUMMARY BUDGET MOVES '!P45:S45)+SUM('[1]SUMMARY BUDGET MOVES '!X45:AA45)+'[1]SUMMARY BUDGET MOVES '!V45</f>
        <v>0</v>
      </c>
      <c r="I45" s="27"/>
      <c r="J45" s="26">
        <f>SUM('[1]SUMMARY BUDGET MOVES '!AB45:AD45)+'[1]SUMMARY BUDGET MOVES '!W45</f>
        <v>0</v>
      </c>
      <c r="K45" s="28"/>
      <c r="L45" s="26">
        <f>'[1]SUMMARY BUDGET MOVES '!AF45+'[1]SUMMARY BUDGET MOVES '!U45</f>
        <v>24.365</v>
      </c>
      <c r="M45" s="27"/>
      <c r="N45" s="26">
        <f t="shared" si="0"/>
        <v>1636.365</v>
      </c>
      <c r="O45" s="27"/>
      <c r="P45" s="26">
        <v>0</v>
      </c>
      <c r="Q45" s="28"/>
      <c r="R45" s="26">
        <v>0</v>
      </c>
      <c r="S45" s="28"/>
      <c r="T45" s="26">
        <f>(N45*5%/12*5)+(N45*5%/12*5)*(5%/12*7)+(N45+P45)*5%/12*7</f>
        <v>82.81256901041667</v>
      </c>
      <c r="U45" s="27"/>
      <c r="V45" s="26">
        <f t="shared" si="1"/>
        <v>1719.1775690104166</v>
      </c>
      <c r="W45" s="27"/>
      <c r="X45" s="26">
        <v>0</v>
      </c>
      <c r="Y45" s="28"/>
      <c r="Z45" s="26">
        <f>SUM('[1]SUMMARY BUDGET MOVES '!AR45:AT45)+'[1]SUMMARY BUDGET MOVES '!AM45</f>
        <v>0</v>
      </c>
      <c r="AA45" s="28"/>
      <c r="AB45" s="26">
        <f>(V45*5%/12*5)+(V45*5%/12*5)*(5%/12*7)+(V45+X45)*5%/12*7</f>
        <v>87.00351759835704</v>
      </c>
      <c r="AC45" s="27"/>
      <c r="AD45" s="26">
        <f t="shared" si="2"/>
        <v>1806.1810866087737</v>
      </c>
      <c r="AE45" s="27"/>
      <c r="AF45" s="26">
        <v>0</v>
      </c>
      <c r="AG45" s="28"/>
      <c r="AH45" s="26">
        <f>(AD45*5%/12*5)+(AD45*5%/12*5)*(5%/12*7)+(AD45+AF45)*5%/12*7</f>
        <v>91.40656019903778</v>
      </c>
      <c r="AI45" s="27"/>
      <c r="AJ45" s="26">
        <f t="shared" si="3"/>
        <v>1897.5876468078116</v>
      </c>
    </row>
    <row r="46" spans="1:36" ht="18">
      <c r="A46" s="5" t="s">
        <v>54</v>
      </c>
      <c r="B46" s="26">
        <f>'[1]SUMMARY BUDGET MOVES '!C46+'[1]SUMMARY BUDGET MOVES '!D46+'[1]SUMMARY BUDGET MOVES '!E46</f>
        <v>448.886</v>
      </c>
      <c r="C46" s="27"/>
      <c r="D46" s="26">
        <f>SUM('[1]SUMMARY BUDGET MOVES '!F46:N46)</f>
        <v>0</v>
      </c>
      <c r="E46" s="27"/>
      <c r="F46" s="26">
        <f t="shared" si="4"/>
        <v>448.886</v>
      </c>
      <c r="G46" s="27"/>
      <c r="H46" s="26">
        <f>SUM('[1]SUMMARY BUDGET MOVES '!P46:S46)+SUM('[1]SUMMARY BUDGET MOVES '!X46:AA46)+'[1]SUMMARY BUDGET MOVES '!V46</f>
        <v>779</v>
      </c>
      <c r="I46" s="27"/>
      <c r="J46" s="26">
        <f>SUM('[1]SUMMARY BUDGET MOVES '!AB46:AD46)+'[1]SUMMARY BUDGET MOVES '!W46</f>
        <v>0</v>
      </c>
      <c r="K46" s="28"/>
      <c r="L46" s="26">
        <f>'[1]SUMMARY BUDGET MOVES '!AF46+'[1]SUMMARY BUDGET MOVES '!U46</f>
        <v>30.69715</v>
      </c>
      <c r="M46" s="27"/>
      <c r="N46" s="26">
        <f t="shared" si="0"/>
        <v>1258.58315</v>
      </c>
      <c r="O46" s="27"/>
      <c r="P46" s="26">
        <v>-724</v>
      </c>
      <c r="Q46" s="28"/>
      <c r="R46" s="26">
        <v>0</v>
      </c>
      <c r="S46" s="28"/>
      <c r="T46" s="26">
        <f>(N46*2%/12*5)+(N46*2%/12*5)*(2%/12*7)+(N46+P46)*2%/12*7</f>
        <v>16.847358584027774</v>
      </c>
      <c r="U46" s="27"/>
      <c r="V46" s="26">
        <f t="shared" si="1"/>
        <v>551.4305085840277</v>
      </c>
      <c r="W46" s="27"/>
      <c r="X46" s="26">
        <v>-44</v>
      </c>
      <c r="Y46" s="28"/>
      <c r="Z46" s="26">
        <f>SUM('[1]SUMMARY BUDGET MOVES '!AR46:AT46)+'[1]SUMMARY BUDGET MOVES '!AM46</f>
        <v>0</v>
      </c>
      <c r="AA46" s="28"/>
      <c r="AB46" s="26">
        <f>(V46*2%/12*5)+(V46*2%/12*5)*(2%/12*7)+(V46+X46)*2%/12*7</f>
        <v>10.56888813779289</v>
      </c>
      <c r="AC46" s="27"/>
      <c r="AD46" s="26">
        <f t="shared" si="2"/>
        <v>517.9993967218206</v>
      </c>
      <c r="AE46" s="27"/>
      <c r="AF46" s="26">
        <v>0</v>
      </c>
      <c r="AG46" s="28"/>
      <c r="AH46" s="26">
        <f>(AD46*2%/12*5)+(AD46*2%/12*5)*(2%/12*7)+(AD46+AF46)*2%/12*7</f>
        <v>10.410348986895478</v>
      </c>
      <c r="AI46" s="27"/>
      <c r="AJ46" s="26">
        <f t="shared" si="3"/>
        <v>528.4097457087161</v>
      </c>
    </row>
    <row r="47" spans="1:36" ht="18">
      <c r="A47" s="5" t="s">
        <v>55</v>
      </c>
      <c r="B47" s="26">
        <f>'[1]SUMMARY BUDGET MOVES '!C47+'[1]SUMMARY BUDGET MOVES '!D47+'[1]SUMMARY BUDGET MOVES '!E47</f>
        <v>15229.362</v>
      </c>
      <c r="C47" s="27"/>
      <c r="D47" s="26">
        <f>SUM('[1]SUMMARY BUDGET MOVES '!F47:N47)</f>
        <v>0</v>
      </c>
      <c r="E47" s="27"/>
      <c r="F47" s="26">
        <f t="shared" si="4"/>
        <v>15229.362</v>
      </c>
      <c r="G47" s="27"/>
      <c r="H47" s="26">
        <f>SUM('[1]SUMMARY BUDGET MOVES '!P47:S47)+SUM('[1]SUMMARY BUDGET MOVES '!X47:AA47)+'[1]SUMMARY BUDGET MOVES '!V47</f>
        <v>0</v>
      </c>
      <c r="I47" s="27"/>
      <c r="J47" s="26">
        <f>SUM('[1]SUMMARY BUDGET MOVES '!AB47:AD47)+'[1]SUMMARY BUDGET MOVES '!W47</f>
        <v>0</v>
      </c>
      <c r="K47" s="28"/>
      <c r="L47" s="26">
        <f>'[1]SUMMARY BUDGET MOVES '!AF47+'[1]SUMMARY BUDGET MOVES '!U47</f>
        <v>152.29362</v>
      </c>
      <c r="M47" s="27"/>
      <c r="N47" s="26">
        <f t="shared" si="0"/>
        <v>15381.65562</v>
      </c>
      <c r="O47" s="27"/>
      <c r="P47" s="26">
        <v>0</v>
      </c>
      <c r="Q47" s="28"/>
      <c r="R47" s="26">
        <v>0</v>
      </c>
      <c r="S47" s="28"/>
      <c r="T47" s="26">
        <f>(N47*2%/12*5)+(N47*2%/12*5)*(2%/12*7)+(N47+P47)*2%/12*7</f>
        <v>309.12855114083334</v>
      </c>
      <c r="U47" s="27"/>
      <c r="V47" s="26">
        <f t="shared" si="1"/>
        <v>15690.784171140833</v>
      </c>
      <c r="W47" s="27"/>
      <c r="X47" s="26">
        <v>0</v>
      </c>
      <c r="Y47" s="28"/>
      <c r="Z47" s="26">
        <f>SUM('[1]SUMMARY BUDGET MOVES '!AR47:AT47)+'[1]SUMMARY BUDGET MOVES '!AM47</f>
        <v>0</v>
      </c>
      <c r="AA47" s="28"/>
      <c r="AB47" s="26">
        <f>(V47*2%/12*5)+(V47*2%/12*5)*(2%/12*7)+(V47+X47)*2%/12*7</f>
        <v>315.34117632834426</v>
      </c>
      <c r="AC47" s="27"/>
      <c r="AD47" s="26">
        <f t="shared" si="2"/>
        <v>16006.125347469177</v>
      </c>
      <c r="AE47" s="27"/>
      <c r="AF47" s="26">
        <v>0</v>
      </c>
      <c r="AG47" s="28"/>
      <c r="AH47" s="26">
        <f>(AD47*2%/12*5)+(AD47*2%/12*5)*(2%/12*7)+(AD47+AF47)*2%/12*7</f>
        <v>321.6786580248319</v>
      </c>
      <c r="AI47" s="27"/>
      <c r="AJ47" s="26">
        <f t="shared" si="3"/>
        <v>16327.804005494008</v>
      </c>
    </row>
    <row r="48" spans="1:36" ht="18">
      <c r="A48" s="5" t="s">
        <v>56</v>
      </c>
      <c r="B48" s="26">
        <f>'[1]SUMMARY BUDGET MOVES '!C48+'[1]SUMMARY BUDGET MOVES '!D48+'[1]SUMMARY BUDGET MOVES '!E48</f>
        <v>1193.865</v>
      </c>
      <c r="C48" s="27"/>
      <c r="D48" s="26">
        <f>SUM('[1]SUMMARY BUDGET MOVES '!F48:N48)</f>
        <v>0</v>
      </c>
      <c r="E48" s="27"/>
      <c r="F48" s="26">
        <f t="shared" si="4"/>
        <v>1193.865</v>
      </c>
      <c r="G48" s="27"/>
      <c r="H48" s="26">
        <f>SUM('[1]SUMMARY BUDGET MOVES '!P48:S48)+SUM('[1]SUMMARY BUDGET MOVES '!X48:AA48)+'[1]SUMMARY BUDGET MOVES '!V48</f>
        <v>0</v>
      </c>
      <c r="I48" s="27"/>
      <c r="J48" s="26">
        <f>SUM('[1]SUMMARY BUDGET MOVES '!AB48:AD48)+'[1]SUMMARY BUDGET MOVES '!W48</f>
        <v>-150</v>
      </c>
      <c r="K48" s="28"/>
      <c r="L48" s="26">
        <f>'[1]SUMMARY BUDGET MOVES '!AF48+'[1]SUMMARY BUDGET MOVES '!U48</f>
        <v>0.28</v>
      </c>
      <c r="M48" s="27"/>
      <c r="N48" s="26">
        <f t="shared" si="0"/>
        <v>1044.145</v>
      </c>
      <c r="O48" s="27"/>
      <c r="P48" s="26">
        <v>0</v>
      </c>
      <c r="Q48" s="28"/>
      <c r="R48" s="26">
        <v>0</v>
      </c>
      <c r="S48" s="28"/>
      <c r="T48" s="26">
        <f>(N48*2%/12*5)+(N48*2%/12*5)*(2%/12*7)+(N48+P48)*2%/12*7</f>
        <v>20.984414097222224</v>
      </c>
      <c r="U48" s="27"/>
      <c r="V48" s="26">
        <f t="shared" si="1"/>
        <v>1065.1294140972223</v>
      </c>
      <c r="W48" s="27"/>
      <c r="X48" s="26">
        <v>0</v>
      </c>
      <c r="Y48" s="28"/>
      <c r="Z48" s="26">
        <f>SUM('[1]SUMMARY BUDGET MOVES '!AR48:AT48)+'[1]SUMMARY BUDGET MOVES '!AM48</f>
        <v>0</v>
      </c>
      <c r="AA48" s="28"/>
      <c r="AB48" s="26">
        <f>(V48*2%/12*5)+(V48*2%/12*5)*(2%/12*7)+(V48+X48)*2%/12*7</f>
        <v>21.40614253053723</v>
      </c>
      <c r="AC48" s="27"/>
      <c r="AD48" s="26">
        <f t="shared" si="2"/>
        <v>1086.5355566277594</v>
      </c>
      <c r="AE48" s="27"/>
      <c r="AF48" s="26">
        <v>0</v>
      </c>
      <c r="AG48" s="28"/>
      <c r="AH48" s="26">
        <f>(AD48*2%/12*5)+(AD48*2%/12*5)*(2%/12*7)+(AD48+AF48)*2%/12*7</f>
        <v>21.836346533894</v>
      </c>
      <c r="AI48" s="27"/>
      <c r="AJ48" s="26">
        <f t="shared" si="3"/>
        <v>1108.3719031616533</v>
      </c>
    </row>
    <row r="49" spans="1:36" ht="18">
      <c r="A49" s="5" t="s">
        <v>57</v>
      </c>
      <c r="B49" s="26">
        <f>'[1]SUMMARY BUDGET MOVES '!C49+'[1]SUMMARY BUDGET MOVES '!D49+'[1]SUMMARY BUDGET MOVES '!E49</f>
        <v>15960.005</v>
      </c>
      <c r="C49" s="27"/>
      <c r="D49" s="26">
        <f>SUM('[1]SUMMARY BUDGET MOVES '!F49:N49)</f>
        <v>0</v>
      </c>
      <c r="E49" s="27"/>
      <c r="F49" s="26">
        <f t="shared" si="4"/>
        <v>15960.005</v>
      </c>
      <c r="G49" s="27"/>
      <c r="H49" s="26">
        <f>SUM('[1]SUMMARY BUDGET MOVES '!P49:S49)+SUM('[1]SUMMARY BUDGET MOVES '!X49:AA49)+'[1]SUMMARY BUDGET MOVES '!V49</f>
        <v>0</v>
      </c>
      <c r="I49" s="27"/>
      <c r="J49" s="26">
        <f>SUM('[1]SUMMARY BUDGET MOVES '!AB49:AD49)+'[1]SUMMARY BUDGET MOVES '!W49+30</f>
        <v>-720</v>
      </c>
      <c r="K49" s="28"/>
      <c r="L49" s="26">
        <f>'[1]SUMMARY BUDGET MOVES '!AF49+'[1]SUMMARY BUDGET MOVES '!U49</f>
        <v>166.22503999999998</v>
      </c>
      <c r="M49" s="27"/>
      <c r="N49" s="26">
        <f t="shared" si="0"/>
        <v>15406.230039999999</v>
      </c>
      <c r="O49" s="27"/>
      <c r="P49" s="26">
        <v>0</v>
      </c>
      <c r="Q49" s="28"/>
      <c r="R49" s="26">
        <v>0</v>
      </c>
      <c r="S49" s="28"/>
      <c r="T49" s="26">
        <f>(N49*2.5%/12*5)+(N49*2.5%/12*5)*(2.5%/12*7)+(N49+P49)*2.5%/12*7</f>
        <v>387.4961071258681</v>
      </c>
      <c r="U49" s="27"/>
      <c r="V49" s="26">
        <f t="shared" si="1"/>
        <v>15793.726147125866</v>
      </c>
      <c r="W49" s="27"/>
      <c r="X49" s="26">
        <v>0</v>
      </c>
      <c r="Y49" s="28"/>
      <c r="Z49" s="26">
        <v>0</v>
      </c>
      <c r="AA49" s="28"/>
      <c r="AB49" s="26">
        <f>(V49*2.5%/12*5)+(V49*2.5%/12*5)*(2.5%/12*7)+(V49+X49)*2.5%/12*7</f>
        <v>397.2423742300104</v>
      </c>
      <c r="AC49" s="27"/>
      <c r="AD49" s="26">
        <f t="shared" si="2"/>
        <v>16190.968521355877</v>
      </c>
      <c r="AE49" s="27"/>
      <c r="AF49" s="26">
        <v>0</v>
      </c>
      <c r="AG49" s="28"/>
      <c r="AH49" s="26">
        <f>(AD49*2.5%/12*5)+(AD49*2.5%/12*5)*(2.5%/12*7)+(AD49+AF49)*2.5%/12*7</f>
        <v>407.23377856448485</v>
      </c>
      <c r="AI49" s="27"/>
      <c r="AJ49" s="26">
        <f t="shared" si="3"/>
        <v>16598.202299920362</v>
      </c>
    </row>
    <row r="50" spans="1:36" ht="18">
      <c r="A50" s="5" t="s">
        <v>58</v>
      </c>
      <c r="B50" s="26">
        <f>'[1]SUMMARY BUDGET MOVES '!C50+'[1]SUMMARY BUDGET MOVES '!D50+'[1]SUMMARY BUDGET MOVES '!E50</f>
        <v>-76034.12099999998</v>
      </c>
      <c r="C50" s="27"/>
      <c r="D50" s="26">
        <f>SUM('[1]SUMMARY BUDGET MOVES '!F50:N50)</f>
        <v>-815</v>
      </c>
      <c r="E50" s="27"/>
      <c r="F50" s="26">
        <f t="shared" si="4"/>
        <v>-76849.12099999998</v>
      </c>
      <c r="G50" s="27"/>
      <c r="H50" s="26">
        <f>SUM('[1]SUMMARY BUDGET MOVES '!P50:S50)+SUM('[1]SUMMARY BUDGET MOVES '!X50:AA50)+'[1]SUMMARY BUDGET MOVES '!V50</f>
        <v>34</v>
      </c>
      <c r="I50" s="27"/>
      <c r="J50" s="26">
        <f>SUM('[1]SUMMARY BUDGET MOVES '!AB50:AD50)+'[1]SUMMARY BUDGET MOVES '!W50</f>
        <v>-85</v>
      </c>
      <c r="K50" s="28"/>
      <c r="L50" s="26">
        <f>'[1]SUMMARY BUDGET MOVES '!AF50+'[1]SUMMARY BUDGET MOVES '!U50</f>
        <v>-486.8301615000001</v>
      </c>
      <c r="M50" s="27"/>
      <c r="N50" s="26">
        <f t="shared" si="0"/>
        <v>-77386.95116149998</v>
      </c>
      <c r="O50" s="27"/>
      <c r="P50" s="26">
        <v>0</v>
      </c>
      <c r="Q50" s="28"/>
      <c r="R50" s="26">
        <v>0</v>
      </c>
      <c r="S50" s="28"/>
      <c r="T50" s="26">
        <f>L50*102%</f>
        <v>-496.5667647300001</v>
      </c>
      <c r="U50" s="27"/>
      <c r="V50" s="26">
        <f t="shared" si="1"/>
        <v>-77883.51792622998</v>
      </c>
      <c r="W50" s="27"/>
      <c r="X50" s="26">
        <v>0</v>
      </c>
      <c r="Y50" s="28"/>
      <c r="Z50" s="26">
        <f>SUM('[1]SUMMARY BUDGET MOVES '!AR50:AT50)+'[1]SUMMARY BUDGET MOVES '!AM50</f>
        <v>0</v>
      </c>
      <c r="AA50" s="28"/>
      <c r="AB50" s="26">
        <f>T50*102%</f>
        <v>-506.4981000246001</v>
      </c>
      <c r="AC50" s="27"/>
      <c r="AD50" s="26">
        <f t="shared" si="2"/>
        <v>-78390.01602625458</v>
      </c>
      <c r="AE50" s="27"/>
      <c r="AF50" s="26">
        <v>0</v>
      </c>
      <c r="AG50" s="28"/>
      <c r="AH50" s="26">
        <f>AB50*102%</f>
        <v>-516.628062025092</v>
      </c>
      <c r="AI50" s="27"/>
      <c r="AJ50" s="26">
        <f t="shared" si="3"/>
        <v>-78906.64408827967</v>
      </c>
    </row>
    <row r="51" spans="1:36" ht="18.75" thickBot="1">
      <c r="A51" s="5" t="s">
        <v>59</v>
      </c>
      <c r="B51" s="34">
        <f>SUM(B19:B50)</f>
        <v>28668.74396000002</v>
      </c>
      <c r="C51" s="27"/>
      <c r="D51" s="34">
        <f>SUM(D19:D50)</f>
        <v>-2991</v>
      </c>
      <c r="E51" s="27"/>
      <c r="F51" s="34">
        <f>SUM(F19:F50)</f>
        <v>25677.74396000002</v>
      </c>
      <c r="G51" s="27"/>
      <c r="H51" s="34">
        <f>SUM(H19:H50)</f>
        <v>812</v>
      </c>
      <c r="I51" s="27"/>
      <c r="J51" s="34">
        <f>SUM(J19:J50)</f>
        <v>-2895</v>
      </c>
      <c r="K51" s="28"/>
      <c r="L51" s="34">
        <f>SUM(L19:L50)</f>
        <v>1552.0097907</v>
      </c>
      <c r="M51" s="27"/>
      <c r="N51" s="34">
        <f t="shared" si="0"/>
        <v>25146.753750700023</v>
      </c>
      <c r="O51" s="27"/>
      <c r="P51" s="34">
        <f>SUM(P19:P50)</f>
        <v>-374</v>
      </c>
      <c r="Q51" s="28"/>
      <c r="R51" s="34">
        <f>SUM(R19:R50)</f>
        <v>-1100</v>
      </c>
      <c r="S51" s="28"/>
      <c r="T51" s="34">
        <f>SUM(T19:T50)</f>
        <v>2482.002105483797</v>
      </c>
      <c r="U51" s="27"/>
      <c r="V51" s="34">
        <f t="shared" si="1"/>
        <v>26154.75585618382</v>
      </c>
      <c r="W51" s="27"/>
      <c r="X51" s="34">
        <f>SUM(X19:X50)</f>
        <v>456</v>
      </c>
      <c r="Y51" s="28"/>
      <c r="Z51" s="34">
        <f>SUM(Z19:Z50)</f>
        <v>-1720</v>
      </c>
      <c r="AA51" s="28"/>
      <c r="AB51" s="34">
        <f>SUM(AB19:AB50)</f>
        <v>2693.2280155726876</v>
      </c>
      <c r="AC51" s="27"/>
      <c r="AD51" s="34">
        <f t="shared" si="2"/>
        <v>27583.983871756507</v>
      </c>
      <c r="AE51" s="27"/>
      <c r="AF51" s="34">
        <f>SUM(AF19:AF50)</f>
        <v>500</v>
      </c>
      <c r="AG51" s="28"/>
      <c r="AH51" s="34">
        <f>SUM(AH19:AH50)</f>
        <v>2761.2913152272877</v>
      </c>
      <c r="AI51" s="27"/>
      <c r="AJ51" s="34">
        <f t="shared" si="3"/>
        <v>30845.275186983796</v>
      </c>
    </row>
    <row r="52" spans="2:36" ht="18">
      <c r="B52" s="26"/>
      <c r="C52" s="27"/>
      <c r="D52" s="26"/>
      <c r="E52" s="27"/>
      <c r="F52" s="26"/>
      <c r="G52" s="27"/>
      <c r="H52" s="26"/>
      <c r="I52" s="27"/>
      <c r="J52" s="26"/>
      <c r="K52" s="28"/>
      <c r="L52" s="26"/>
      <c r="M52" s="27"/>
      <c r="N52" s="26"/>
      <c r="O52" s="27"/>
      <c r="P52" s="26"/>
      <c r="Q52" s="28"/>
      <c r="R52" s="26"/>
      <c r="S52" s="28"/>
      <c r="T52" s="26"/>
      <c r="U52" s="27"/>
      <c r="V52" s="26"/>
      <c r="W52" s="27"/>
      <c r="X52" s="26"/>
      <c r="Y52" s="28"/>
      <c r="Z52" s="26"/>
      <c r="AA52" s="28"/>
      <c r="AB52" s="26"/>
      <c r="AC52" s="27"/>
      <c r="AD52" s="26"/>
      <c r="AE52" s="27"/>
      <c r="AF52" s="26"/>
      <c r="AG52" s="28"/>
      <c r="AH52" s="26"/>
      <c r="AI52" s="27"/>
      <c r="AJ52" s="26"/>
    </row>
    <row r="53" spans="1:36" ht="18.75" thickBot="1">
      <c r="A53" s="35" t="s">
        <v>60</v>
      </c>
      <c r="B53" s="36">
        <f>B18+B51</f>
        <v>399241.3530332162</v>
      </c>
      <c r="C53" s="27"/>
      <c r="D53" s="36">
        <f>D18+D51</f>
        <v>-12252.8</v>
      </c>
      <c r="E53" s="27"/>
      <c r="F53" s="36">
        <f>F18+F51</f>
        <v>386988.55303321616</v>
      </c>
      <c r="G53" s="27"/>
      <c r="H53" s="36">
        <f>H18+H51</f>
        <v>3627.211009174312</v>
      </c>
      <c r="I53" s="27"/>
      <c r="J53" s="36">
        <f>J18+J51</f>
        <v>-16377.066666666668</v>
      </c>
      <c r="K53" s="28"/>
      <c r="L53" s="36">
        <f>L18+L51</f>
        <v>5086.248059137117</v>
      </c>
      <c r="M53" s="27"/>
      <c r="N53" s="36">
        <f>N18+N51</f>
        <v>379324.94543486094</v>
      </c>
      <c r="O53" s="27"/>
      <c r="P53" s="36">
        <f>P18+P51</f>
        <v>6044</v>
      </c>
      <c r="Q53" s="28"/>
      <c r="R53" s="36">
        <f>R18+R51</f>
        <v>-18131.125</v>
      </c>
      <c r="S53" s="28"/>
      <c r="T53" s="36">
        <f>T18+T51</f>
        <v>6045.503672347534</v>
      </c>
      <c r="U53" s="27"/>
      <c r="V53" s="36">
        <f>SUM(N53:T53)</f>
        <v>373283.32410720846</v>
      </c>
      <c r="W53" s="27"/>
      <c r="X53" s="36">
        <f>X18+X51</f>
        <v>13922</v>
      </c>
      <c r="Y53" s="28"/>
      <c r="Z53" s="36">
        <f>Z18+Z51</f>
        <v>-18877.45833333332</v>
      </c>
      <c r="AA53" s="28"/>
      <c r="AB53" s="36">
        <f>AB18+AB51</f>
        <v>8358.071499761634</v>
      </c>
      <c r="AC53" s="27"/>
      <c r="AD53" s="36">
        <f>SUM(V53:AB53)</f>
        <v>376685.9372736368</v>
      </c>
      <c r="AE53" s="27"/>
      <c r="AF53" s="36">
        <f>AF18+AF51</f>
        <v>4200</v>
      </c>
      <c r="AG53" s="28"/>
      <c r="AH53" s="36">
        <f>AH18+AH51</f>
        <v>9797.165819138114</v>
      </c>
      <c r="AI53" s="27"/>
      <c r="AJ53" s="36">
        <f>SUM(AD53:AH53)</f>
        <v>390683.1030927749</v>
      </c>
    </row>
    <row r="54" spans="1:36" ht="19.5" hidden="1" thickBot="1" thickTop="1">
      <c r="A54" s="35"/>
      <c r="B54" s="34">
        <f>SUM(B13:B17)+SUM(B19:B50)</f>
        <v>399241.3530332162</v>
      </c>
      <c r="C54" s="37"/>
      <c r="D54" s="34"/>
      <c r="E54" s="37"/>
      <c r="F54" s="34"/>
      <c r="G54" s="37"/>
      <c r="H54" s="34">
        <f>SUM(H13:H17)+SUM(H19:H50)</f>
        <v>3627.211009174312</v>
      </c>
      <c r="I54" s="27"/>
      <c r="J54" s="34"/>
      <c r="K54" s="37"/>
      <c r="L54" s="34">
        <f>SUM(L13:L17)+SUM(L19:L50)</f>
        <v>5086.248059137117</v>
      </c>
      <c r="M54" s="27"/>
      <c r="N54" s="34">
        <f>SUM(N13:N17)+SUM(N19:N50)</f>
        <v>379324.94543486094</v>
      </c>
      <c r="O54" s="37"/>
      <c r="P54" s="34">
        <f>SUM(P13:P17)+SUM(P19:P50)</f>
        <v>6044</v>
      </c>
      <c r="Q54" s="37"/>
      <c r="R54" s="34"/>
      <c r="S54" s="37"/>
      <c r="T54" s="34">
        <f>SUM(T13:T17)+SUM(T19:T50)</f>
        <v>6045.503672347534</v>
      </c>
      <c r="U54" s="27"/>
      <c r="V54" s="34">
        <f>SUM(V13:V17)+SUM(V19:V50)</f>
        <v>373283.32410720846</v>
      </c>
      <c r="W54" s="37"/>
      <c r="X54" s="34">
        <f>SUM(X13:X17)+SUM(X19:X50)</f>
        <v>13922</v>
      </c>
      <c r="Y54" s="37"/>
      <c r="Z54" s="34"/>
      <c r="AA54" s="37"/>
      <c r="AB54" s="34">
        <f>SUM(AB13:AB17)+SUM(AB19:AB50)</f>
        <v>8358.071499761634</v>
      </c>
      <c r="AC54" s="27"/>
      <c r="AD54" s="34">
        <f>SUM(AD13:AD17)+SUM(AD19:AD50)</f>
        <v>376685.93727363675</v>
      </c>
      <c r="AE54" s="27"/>
      <c r="AF54" s="34">
        <f>SUM(AF13:AF17)+SUM(AF19:AF50)</f>
        <v>4200</v>
      </c>
      <c r="AG54" s="37"/>
      <c r="AH54" s="34">
        <f>SUM(AH13:AH17)+SUM(AH19:AH50)</f>
        <v>9797.165819138114</v>
      </c>
      <c r="AI54" s="27"/>
      <c r="AJ54" s="34">
        <f>SUM(AJ13:AJ17)+SUM(AJ19:AJ50)</f>
        <v>390683.10309277487</v>
      </c>
    </row>
    <row r="55" spans="1:36" ht="12.75" customHeight="1" thickTop="1">
      <c r="A55" s="35"/>
      <c r="B55" s="27" t="s">
        <v>0</v>
      </c>
      <c r="C55" s="37"/>
      <c r="D55" s="27"/>
      <c r="E55" s="37"/>
      <c r="F55" s="27"/>
      <c r="G55" s="37"/>
      <c r="H55" s="27"/>
      <c r="I55" s="27"/>
      <c r="J55" s="27"/>
      <c r="K55" s="37"/>
      <c r="L55" s="27"/>
      <c r="M55" s="27"/>
      <c r="N55" s="27"/>
      <c r="O55" s="37"/>
      <c r="P55" s="27"/>
      <c r="Q55" s="37"/>
      <c r="R55" s="27"/>
      <c r="S55" s="37"/>
      <c r="T55" s="27"/>
      <c r="U55" s="27"/>
      <c r="V55" s="27"/>
      <c r="W55" s="37"/>
      <c r="X55" s="27"/>
      <c r="Y55" s="37"/>
      <c r="Z55" s="27"/>
      <c r="AA55" s="37"/>
      <c r="AB55" s="27"/>
      <c r="AC55" s="27"/>
      <c r="AD55" s="27"/>
      <c r="AE55" s="27"/>
      <c r="AF55" s="27"/>
      <c r="AG55" s="37"/>
      <c r="AH55" s="27"/>
      <c r="AI55" s="27"/>
      <c r="AJ55" s="27"/>
    </row>
    <row r="56" spans="1:36" ht="3.75" customHeight="1" thickBot="1">
      <c r="A56" s="35"/>
      <c r="B56" s="27"/>
      <c r="C56" s="37"/>
      <c r="D56" s="27"/>
      <c r="E56" s="37"/>
      <c r="F56" s="27"/>
      <c r="G56" s="37"/>
      <c r="H56" s="27"/>
      <c r="I56" s="27"/>
      <c r="J56" s="27"/>
      <c r="K56" s="37"/>
      <c r="L56" s="27"/>
      <c r="M56" s="27"/>
      <c r="N56" s="27"/>
      <c r="O56" s="37"/>
      <c r="P56" s="27"/>
      <c r="Q56" s="37"/>
      <c r="R56" s="27"/>
      <c r="S56" s="37"/>
      <c r="T56" s="27"/>
      <c r="U56" s="27"/>
      <c r="V56" s="27"/>
      <c r="W56" s="37"/>
      <c r="X56" s="27"/>
      <c r="Y56" s="37"/>
      <c r="Z56" s="27"/>
      <c r="AA56" s="37"/>
      <c r="AB56" s="27"/>
      <c r="AC56" s="27"/>
      <c r="AD56" s="27"/>
      <c r="AE56" s="27"/>
      <c r="AF56" s="27"/>
      <c r="AG56" s="37"/>
      <c r="AH56" s="27"/>
      <c r="AI56" s="27"/>
      <c r="AJ56" s="27"/>
    </row>
    <row r="57" spans="1:36" ht="18.75" thickBot="1">
      <c r="A57" s="20" t="s">
        <v>61</v>
      </c>
      <c r="B57" s="38"/>
      <c r="C57" s="37"/>
      <c r="D57" s="38"/>
      <c r="E57" s="37"/>
      <c r="F57" s="38"/>
      <c r="G57" s="37"/>
      <c r="H57" s="39"/>
      <c r="I57" s="27"/>
      <c r="J57" s="38"/>
      <c r="K57" s="37"/>
      <c r="L57" s="39"/>
      <c r="M57" s="27"/>
      <c r="N57" s="38"/>
      <c r="O57" s="37"/>
      <c r="P57" s="39"/>
      <c r="Q57" s="37"/>
      <c r="R57" s="38"/>
      <c r="S57" s="37"/>
      <c r="T57" s="39"/>
      <c r="U57" s="27"/>
      <c r="V57" s="38"/>
      <c r="W57" s="37"/>
      <c r="X57" s="39"/>
      <c r="Y57" s="37"/>
      <c r="Z57" s="38"/>
      <c r="AA57" s="37"/>
      <c r="AB57" s="39"/>
      <c r="AC57" s="27"/>
      <c r="AD57" s="38"/>
      <c r="AE57" s="27"/>
      <c r="AF57" s="39"/>
      <c r="AG57" s="37"/>
      <c r="AH57" s="39"/>
      <c r="AI57" s="27"/>
      <c r="AJ57" s="38"/>
    </row>
    <row r="58" spans="1:36" ht="8.25" customHeight="1">
      <c r="A58" s="23"/>
      <c r="B58" s="40"/>
      <c r="C58" s="37"/>
      <c r="D58" s="40"/>
      <c r="E58" s="37"/>
      <c r="F58" s="40"/>
      <c r="G58" s="37"/>
      <c r="H58" s="41"/>
      <c r="I58" s="27"/>
      <c r="J58" s="40"/>
      <c r="K58" s="37"/>
      <c r="L58" s="41"/>
      <c r="M58" s="27"/>
      <c r="N58" s="40"/>
      <c r="O58" s="37"/>
      <c r="P58" s="41"/>
      <c r="Q58" s="37"/>
      <c r="R58" s="40"/>
      <c r="S58" s="37"/>
      <c r="T58" s="41"/>
      <c r="U58" s="27"/>
      <c r="V58" s="40"/>
      <c r="W58" s="37"/>
      <c r="X58" s="41"/>
      <c r="Y58" s="37"/>
      <c r="Z58" s="40"/>
      <c r="AA58" s="37"/>
      <c r="AB58" s="41"/>
      <c r="AC58" s="27"/>
      <c r="AD58" s="40"/>
      <c r="AE58" s="27"/>
      <c r="AF58" s="41"/>
      <c r="AG58" s="37"/>
      <c r="AH58" s="41"/>
      <c r="AI58" s="27"/>
      <c r="AJ58" s="40"/>
    </row>
    <row r="59" spans="1:36" ht="18">
      <c r="A59" s="5" t="s">
        <v>62</v>
      </c>
      <c r="B59" s="26">
        <f>'[1]SUMMARY BUDGET MOVES '!C59+'[1]SUMMARY BUDGET MOVES '!E59</f>
        <v>6006</v>
      </c>
      <c r="C59" s="27"/>
      <c r="D59" s="26">
        <f>SUM('[1]SUMMARY BUDGET MOVES '!F59:N59)</f>
        <v>0</v>
      </c>
      <c r="E59" s="27"/>
      <c r="F59" s="26">
        <f>B59+D59</f>
        <v>6006</v>
      </c>
      <c r="G59" s="27"/>
      <c r="H59" s="26">
        <f>SUM('[1]SUMMARY BUDGET MOVES '!P59:S59)+SUM('[1]SUMMARY BUDGET MOVES '!X59:AA59)+'[1]SUMMARY BUDGET MOVES '!V59</f>
        <v>2525</v>
      </c>
      <c r="I59" s="27"/>
      <c r="J59" s="26">
        <f>SUM('[1]SUMMARY BUDGET MOVES '!AB59:AD59)+'[1]SUMMARY BUDGET MOVES '!W59</f>
        <v>0</v>
      </c>
      <c r="K59" s="28"/>
      <c r="L59" s="26">
        <f>'[1]SUMMARY BUDGET MOVES '!AF59+'[1]SUMMARY BUDGET MOVES '!U59</f>
        <v>158.27933333333334</v>
      </c>
      <c r="M59" s="27"/>
      <c r="N59" s="26">
        <f>SUM(F59:L59)</f>
        <v>8689.279333333334</v>
      </c>
      <c r="O59" s="27"/>
      <c r="P59" s="26">
        <v>-850</v>
      </c>
      <c r="Q59" s="28"/>
      <c r="R59" s="26">
        <v>0</v>
      </c>
      <c r="S59" s="28"/>
      <c r="T59" s="26">
        <f>(N59+P59)*3%</f>
        <v>235.17838</v>
      </c>
      <c r="U59" s="27"/>
      <c r="V59" s="26">
        <f>SUM(N59:T59)</f>
        <v>8074.457713333334</v>
      </c>
      <c r="W59" s="27"/>
      <c r="X59" s="26">
        <v>0</v>
      </c>
      <c r="Y59" s="28"/>
      <c r="Z59" s="26">
        <f>SUM('[1]SUMMARY BUDGET MOVES '!AR59:AT59)+'[1]SUMMARY BUDGET MOVES '!AM59</f>
        <v>0</v>
      </c>
      <c r="AA59" s="28"/>
      <c r="AB59" s="26">
        <f>(V59+X59)*3%</f>
        <v>242.2337314</v>
      </c>
      <c r="AC59" s="27"/>
      <c r="AD59" s="26">
        <f>SUM(V59:AB59)</f>
        <v>8316.691444733335</v>
      </c>
      <c r="AE59" s="27"/>
      <c r="AF59" s="26">
        <v>0</v>
      </c>
      <c r="AG59" s="28"/>
      <c r="AH59" s="26">
        <f>(AD59+AF59)*3%</f>
        <v>249.50074334200002</v>
      </c>
      <c r="AI59" s="27"/>
      <c r="AJ59" s="26">
        <f>SUM(AD59:AH59)</f>
        <v>8566.192188075334</v>
      </c>
    </row>
    <row r="60" spans="1:36" ht="10.5" customHeight="1">
      <c r="A60" s="5" t="s">
        <v>0</v>
      </c>
      <c r="B60" s="26"/>
      <c r="C60" s="27"/>
      <c r="D60" s="26" t="s">
        <v>0</v>
      </c>
      <c r="E60" s="27"/>
      <c r="F60" s="26"/>
      <c r="G60" s="27"/>
      <c r="H60" s="26"/>
      <c r="I60" s="27"/>
      <c r="J60" s="26"/>
      <c r="K60" s="28"/>
      <c r="L60" s="26" t="s">
        <v>0</v>
      </c>
      <c r="M60" s="27"/>
      <c r="N60" s="26"/>
      <c r="O60" s="27"/>
      <c r="P60" s="26" t="s">
        <v>0</v>
      </c>
      <c r="Q60" s="28"/>
      <c r="R60" s="26"/>
      <c r="S60" s="28"/>
      <c r="T60" s="26" t="s">
        <v>0</v>
      </c>
      <c r="U60" s="27"/>
      <c r="V60" s="26"/>
      <c r="W60" s="27"/>
      <c r="X60" s="26" t="s">
        <v>0</v>
      </c>
      <c r="Y60" s="28"/>
      <c r="Z60" s="26"/>
      <c r="AA60" s="28"/>
      <c r="AB60" s="26" t="s">
        <v>0</v>
      </c>
      <c r="AC60" s="27"/>
      <c r="AD60" s="26"/>
      <c r="AE60" s="27"/>
      <c r="AF60" s="26" t="s">
        <v>0</v>
      </c>
      <c r="AG60" s="28"/>
      <c r="AH60" s="26" t="s">
        <v>0</v>
      </c>
      <c r="AI60" s="27"/>
      <c r="AJ60" s="26"/>
    </row>
    <row r="61" spans="1:36" ht="18">
      <c r="A61" s="5" t="s">
        <v>63</v>
      </c>
      <c r="B61" s="26"/>
      <c r="C61" s="27"/>
      <c r="D61" s="26" t="s">
        <v>0</v>
      </c>
      <c r="E61" s="27"/>
      <c r="F61" s="26"/>
      <c r="G61" s="27"/>
      <c r="H61" s="26"/>
      <c r="I61" s="27"/>
      <c r="J61" s="26"/>
      <c r="K61" s="28"/>
      <c r="L61" s="26" t="s">
        <v>0</v>
      </c>
      <c r="M61" s="27"/>
      <c r="N61" s="26"/>
      <c r="O61" s="27"/>
      <c r="P61" s="26" t="s">
        <v>0</v>
      </c>
      <c r="Q61" s="28"/>
      <c r="R61" s="26"/>
      <c r="S61" s="28"/>
      <c r="T61" s="26" t="s">
        <v>0</v>
      </c>
      <c r="U61" s="27"/>
      <c r="V61" s="26"/>
      <c r="W61" s="27"/>
      <c r="X61" s="26" t="s">
        <v>0</v>
      </c>
      <c r="Y61" s="28"/>
      <c r="Z61" s="26"/>
      <c r="AA61" s="28"/>
      <c r="AB61" s="26" t="s">
        <v>0</v>
      </c>
      <c r="AC61" s="27"/>
      <c r="AD61" s="26"/>
      <c r="AE61" s="27"/>
      <c r="AF61" s="26" t="s">
        <v>0</v>
      </c>
      <c r="AG61" s="28"/>
      <c r="AH61" s="26" t="s">
        <v>0</v>
      </c>
      <c r="AI61" s="27"/>
      <c r="AJ61" s="26"/>
    </row>
    <row r="62" spans="1:36" ht="18">
      <c r="A62" s="5" t="s">
        <v>64</v>
      </c>
      <c r="B62" s="26">
        <f>'[1]SUMMARY BUDGET MOVES '!C62+'[1]SUMMARY BUDGET MOVES '!E62</f>
        <v>9610</v>
      </c>
      <c r="C62" s="27"/>
      <c r="D62" s="26">
        <f>SUM('[1]SUMMARY BUDGET MOVES '!F62:N62)</f>
        <v>-940</v>
      </c>
      <c r="E62" s="27"/>
      <c r="F62" s="26">
        <f aca="true" t="shared" si="9" ref="F62:F74">B62+D62</f>
        <v>8670</v>
      </c>
      <c r="G62" s="27"/>
      <c r="H62" s="26">
        <f>SUM('[1]SUMMARY BUDGET MOVES '!P62:S62)+SUM('[1]SUMMARY BUDGET MOVES '!X62:AA62)+'[1]SUMMARY BUDGET MOVES '!V62</f>
        <v>0</v>
      </c>
      <c r="I62" s="27"/>
      <c r="J62" s="26">
        <f>SUM('[1]SUMMARY BUDGET MOVES '!AB62:AD62)+'[1]SUMMARY BUDGET MOVES '!W62</f>
        <v>-23</v>
      </c>
      <c r="K62" s="28"/>
      <c r="L62" s="26">
        <f>'[1]SUMMARY BUDGET MOVES '!AF62+'[1]SUMMARY BUDGET MOVES '!U62</f>
        <v>0</v>
      </c>
      <c r="M62" s="27"/>
      <c r="N62" s="26">
        <f aca="true" t="shared" si="10" ref="N62:N74">SUM(F62:L62)</f>
        <v>8647</v>
      </c>
      <c r="O62" s="27"/>
      <c r="P62" s="26">
        <v>0</v>
      </c>
      <c r="Q62" s="28"/>
      <c r="R62" s="26">
        <v>-412</v>
      </c>
      <c r="S62" s="28"/>
      <c r="T62" s="26">
        <v>0</v>
      </c>
      <c r="U62" s="27"/>
      <c r="V62" s="26">
        <f aca="true" t="shared" si="11" ref="V62:V74">SUM(N62:T62)</f>
        <v>8235</v>
      </c>
      <c r="W62" s="27"/>
      <c r="X62" s="26">
        <v>0</v>
      </c>
      <c r="Y62" s="28"/>
      <c r="Z62" s="26">
        <f>SUM('[1]SUMMARY BUDGET MOVES '!AR62:AT62)+'[1]SUMMARY BUDGET MOVES '!AM62</f>
        <v>0</v>
      </c>
      <c r="AA62" s="28"/>
      <c r="AB62" s="26">
        <v>0</v>
      </c>
      <c r="AC62" s="27"/>
      <c r="AD62" s="26">
        <f aca="true" t="shared" si="12" ref="AD62:AD74">SUM(V62:AB62)</f>
        <v>8235</v>
      </c>
      <c r="AE62" s="27"/>
      <c r="AF62" s="26">
        <v>500</v>
      </c>
      <c r="AG62" s="28"/>
      <c r="AH62" s="26">
        <v>0</v>
      </c>
      <c r="AI62" s="27"/>
      <c r="AJ62" s="26">
        <f aca="true" t="shared" si="13" ref="AJ62:AJ74">SUM(AD62:AH62)</f>
        <v>8735</v>
      </c>
    </row>
    <row r="63" spans="1:36" ht="18.75" customHeight="1">
      <c r="A63" s="33" t="s">
        <v>65</v>
      </c>
      <c r="B63" s="26">
        <f>'[1]SUMMARY BUDGET MOVES '!C63+'[1]SUMMARY BUDGET MOVES '!E63</f>
        <v>10856</v>
      </c>
      <c r="C63" s="27"/>
      <c r="D63" s="26">
        <f>SUM('[1]SUMMARY BUDGET MOVES '!F63:N63)</f>
        <v>0</v>
      </c>
      <c r="E63" s="27"/>
      <c r="F63" s="26">
        <f t="shared" si="9"/>
        <v>10856</v>
      </c>
      <c r="G63" s="27"/>
      <c r="H63" s="26">
        <f>SUM('[1]SUMMARY BUDGET MOVES '!P63:S63)+SUM('[1]SUMMARY BUDGET MOVES '!X63:AA63)+'[1]SUMMARY BUDGET MOVES '!V63</f>
        <v>-10356</v>
      </c>
      <c r="I63" s="27"/>
      <c r="J63" s="26">
        <f>SUM('[1]SUMMARY BUDGET MOVES '!AB63:AD63)+'[1]SUMMARY BUDGET MOVES '!W63</f>
        <v>0</v>
      </c>
      <c r="K63" s="28"/>
      <c r="L63" s="26">
        <f>'[1]SUMMARY BUDGET MOVES '!AF63+'[1]SUMMARY BUDGET MOVES '!U63</f>
        <v>0</v>
      </c>
      <c r="M63" s="27"/>
      <c r="N63" s="26">
        <f t="shared" si="10"/>
        <v>500</v>
      </c>
      <c r="O63" s="27"/>
      <c r="P63" s="26">
        <v>0</v>
      </c>
      <c r="Q63" s="28"/>
      <c r="R63" s="26">
        <v>0</v>
      </c>
      <c r="S63" s="28"/>
      <c r="T63" s="26">
        <v>0</v>
      </c>
      <c r="U63" s="27"/>
      <c r="V63" s="26">
        <f t="shared" si="11"/>
        <v>500</v>
      </c>
      <c r="W63" s="27"/>
      <c r="X63" s="26">
        <v>0</v>
      </c>
      <c r="Y63" s="28"/>
      <c r="Z63" s="26">
        <f>SUM('[1]SUMMARY BUDGET MOVES '!AR63:AT63)+'[1]SUMMARY BUDGET MOVES '!AM63</f>
        <v>0</v>
      </c>
      <c r="AA63" s="28"/>
      <c r="AB63" s="26">
        <v>0</v>
      </c>
      <c r="AC63" s="27"/>
      <c r="AD63" s="26">
        <f t="shared" si="12"/>
        <v>500</v>
      </c>
      <c r="AE63" s="27"/>
      <c r="AF63" s="26">
        <v>0</v>
      </c>
      <c r="AG63" s="28"/>
      <c r="AH63" s="26">
        <v>0</v>
      </c>
      <c r="AI63" s="27"/>
      <c r="AJ63" s="26">
        <f t="shared" si="13"/>
        <v>500</v>
      </c>
    </row>
    <row r="64" spans="1:36" ht="18" customHeight="1">
      <c r="A64" s="5" t="s">
        <v>66</v>
      </c>
      <c r="B64" s="26">
        <f>'[1]SUMMARY BUDGET MOVES '!C64+'[1]SUMMARY BUDGET MOVES '!E64</f>
        <v>208</v>
      </c>
      <c r="C64" s="27"/>
      <c r="D64" s="26">
        <f>SUM('[1]SUMMARY BUDGET MOVES '!F64:N64)</f>
        <v>0</v>
      </c>
      <c r="E64" s="27"/>
      <c r="F64" s="26">
        <f t="shared" si="9"/>
        <v>208</v>
      </c>
      <c r="G64" s="27"/>
      <c r="H64" s="26">
        <f>SUM('[1]SUMMARY BUDGET MOVES '!P64:S64)+SUM('[1]SUMMARY BUDGET MOVES '!X64:AA64)+'[1]SUMMARY BUDGET MOVES '!V64</f>
        <v>0</v>
      </c>
      <c r="I64" s="27"/>
      <c r="J64" s="26">
        <f>SUM('[1]SUMMARY BUDGET MOVES '!AB64:AD64)+'[1]SUMMARY BUDGET MOVES '!W64</f>
        <v>0</v>
      </c>
      <c r="K64" s="28"/>
      <c r="L64" s="26">
        <f>'[1]SUMMARY BUDGET MOVES '!AF64+'[1]SUMMARY BUDGET MOVES '!U64</f>
        <v>4.16</v>
      </c>
      <c r="M64" s="27"/>
      <c r="N64" s="26">
        <f t="shared" si="10"/>
        <v>212.16</v>
      </c>
      <c r="O64" s="27"/>
      <c r="P64" s="26">
        <v>0</v>
      </c>
      <c r="Q64" s="28"/>
      <c r="R64" s="26">
        <v>0</v>
      </c>
      <c r="S64" s="28"/>
      <c r="T64" s="26">
        <f>(N64+P64)*2.5%</f>
        <v>5.304</v>
      </c>
      <c r="U64" s="27"/>
      <c r="V64" s="26">
        <f t="shared" si="11"/>
        <v>217.464</v>
      </c>
      <c r="W64" s="27"/>
      <c r="X64" s="26">
        <v>0</v>
      </c>
      <c r="Y64" s="28"/>
      <c r="Z64" s="26">
        <f>SUM('[1]SUMMARY BUDGET MOVES '!AR64:AT64)+'[1]SUMMARY BUDGET MOVES '!AM64</f>
        <v>0</v>
      </c>
      <c r="AA64" s="28"/>
      <c r="AB64" s="26">
        <f>(V64+X64)*2.5%</f>
        <v>5.4366</v>
      </c>
      <c r="AC64" s="27"/>
      <c r="AD64" s="26">
        <f t="shared" si="12"/>
        <v>222.9006</v>
      </c>
      <c r="AE64" s="27"/>
      <c r="AF64" s="26">
        <v>0</v>
      </c>
      <c r="AG64" s="28"/>
      <c r="AH64" s="26">
        <f>(AD64+AF64)*2.5%</f>
        <v>5.572515</v>
      </c>
      <c r="AI64" s="27"/>
      <c r="AJ64" s="26">
        <f t="shared" si="13"/>
        <v>228.473115</v>
      </c>
    </row>
    <row r="65" spans="1:36" ht="18" customHeight="1">
      <c r="A65" s="5" t="s">
        <v>67</v>
      </c>
      <c r="B65" s="26">
        <f>'[1]SUMMARY BUDGET MOVES '!C65+'[1]SUMMARY BUDGET MOVES '!E65</f>
        <v>1720</v>
      </c>
      <c r="C65" s="27"/>
      <c r="D65" s="26">
        <f>SUM('[1]SUMMARY BUDGET MOVES '!F65:N65)</f>
        <v>0</v>
      </c>
      <c r="E65" s="27"/>
      <c r="F65" s="26">
        <f t="shared" si="9"/>
        <v>1720</v>
      </c>
      <c r="G65" s="27"/>
      <c r="H65" s="26">
        <f>SUM('[1]SUMMARY BUDGET MOVES '!P65:S65)+SUM('[1]SUMMARY BUDGET MOVES '!X65:AA65)+'[1]SUMMARY BUDGET MOVES '!V65</f>
        <v>0</v>
      </c>
      <c r="I65" s="27"/>
      <c r="J65" s="26">
        <f>SUM('[1]SUMMARY BUDGET MOVES '!AB65:AD65)+'[1]SUMMARY BUDGET MOVES '!W65</f>
        <v>0</v>
      </c>
      <c r="K65" s="28"/>
      <c r="L65" s="26">
        <f>'[1]SUMMARY BUDGET MOVES '!AF65+'[1]SUMMARY BUDGET MOVES '!U65</f>
        <v>84.17</v>
      </c>
      <c r="M65" s="27"/>
      <c r="N65" s="26">
        <f t="shared" si="10"/>
        <v>1804.17</v>
      </c>
      <c r="O65" s="27"/>
      <c r="P65" s="26">
        <v>0</v>
      </c>
      <c r="Q65" s="28"/>
      <c r="R65" s="26">
        <v>0</v>
      </c>
      <c r="S65" s="28"/>
      <c r="T65" s="26">
        <f>(N65+P65)*5%</f>
        <v>90.20850000000002</v>
      </c>
      <c r="U65" s="27"/>
      <c r="V65" s="26">
        <f t="shared" si="11"/>
        <v>1894.3785</v>
      </c>
      <c r="W65" s="27"/>
      <c r="X65" s="26">
        <v>0</v>
      </c>
      <c r="Y65" s="28"/>
      <c r="Z65" s="26">
        <f>SUM('[1]SUMMARY BUDGET MOVES '!AR65:AT65)+'[1]SUMMARY BUDGET MOVES '!AM65</f>
        <v>0</v>
      </c>
      <c r="AA65" s="28"/>
      <c r="AB65" s="26">
        <f>(V65+X65)*5%</f>
        <v>94.71892500000001</v>
      </c>
      <c r="AC65" s="27"/>
      <c r="AD65" s="26">
        <f t="shared" si="12"/>
        <v>1989.097425</v>
      </c>
      <c r="AE65" s="27"/>
      <c r="AF65" s="26">
        <v>0</v>
      </c>
      <c r="AG65" s="28"/>
      <c r="AH65" s="26">
        <f>(AD65+AF65)*5%</f>
        <v>99.45487125</v>
      </c>
      <c r="AI65" s="27"/>
      <c r="AJ65" s="26">
        <f t="shared" si="13"/>
        <v>2088.55229625</v>
      </c>
    </row>
    <row r="66" spans="1:36" ht="18" customHeight="1">
      <c r="A66" s="5" t="s">
        <v>68</v>
      </c>
      <c r="B66" s="26">
        <f>'[1]SUMMARY BUDGET MOVES '!C66+'[1]SUMMARY BUDGET MOVES '!E66</f>
        <v>135</v>
      </c>
      <c r="C66" s="27"/>
      <c r="D66" s="26">
        <f>SUM('[1]SUMMARY BUDGET MOVES '!F66:N66)</f>
        <v>0</v>
      </c>
      <c r="E66" s="27"/>
      <c r="F66" s="26">
        <f t="shared" si="9"/>
        <v>135</v>
      </c>
      <c r="G66" s="27"/>
      <c r="H66" s="26">
        <f>SUM('[1]SUMMARY BUDGET MOVES '!P66:S66)+SUM('[1]SUMMARY BUDGET MOVES '!X66:AA66)+'[1]SUMMARY BUDGET MOVES '!V66</f>
        <v>0</v>
      </c>
      <c r="I66" s="27"/>
      <c r="J66" s="26">
        <f>SUM('[1]SUMMARY BUDGET MOVES '!AB66:AD66)+'[1]SUMMARY BUDGET MOVES '!W66</f>
        <v>0</v>
      </c>
      <c r="K66" s="28"/>
      <c r="L66" s="26">
        <f>'[1]SUMMARY BUDGET MOVES '!AF66+'[1]SUMMARY BUDGET MOVES '!U66</f>
        <v>2.7</v>
      </c>
      <c r="M66" s="27"/>
      <c r="N66" s="26">
        <f t="shared" si="10"/>
        <v>137.7</v>
      </c>
      <c r="O66" s="27"/>
      <c r="P66" s="26">
        <v>0</v>
      </c>
      <c r="Q66" s="28"/>
      <c r="R66" s="26">
        <v>0</v>
      </c>
      <c r="S66" s="28"/>
      <c r="T66" s="26">
        <f>(N66+P66)*2%</f>
        <v>2.754</v>
      </c>
      <c r="U66" s="27"/>
      <c r="V66" s="26">
        <f t="shared" si="11"/>
        <v>140.45399999999998</v>
      </c>
      <c r="W66" s="27"/>
      <c r="X66" s="26">
        <v>0</v>
      </c>
      <c r="Y66" s="28"/>
      <c r="Z66" s="26">
        <f>SUM('[1]SUMMARY BUDGET MOVES '!AR66:AT66)+'[1]SUMMARY BUDGET MOVES '!AM66</f>
        <v>0</v>
      </c>
      <c r="AA66" s="28"/>
      <c r="AB66" s="26">
        <f>(V66+X66)*2%</f>
        <v>2.80908</v>
      </c>
      <c r="AC66" s="27"/>
      <c r="AD66" s="26">
        <f t="shared" si="12"/>
        <v>143.26307999999997</v>
      </c>
      <c r="AE66" s="27"/>
      <c r="AF66" s="26">
        <v>0</v>
      </c>
      <c r="AG66" s="28"/>
      <c r="AH66" s="26">
        <f>(AD66+AF66)*2%</f>
        <v>2.8652615999999997</v>
      </c>
      <c r="AI66" s="27"/>
      <c r="AJ66" s="26">
        <f t="shared" si="13"/>
        <v>146.12834159999997</v>
      </c>
    </row>
    <row r="67" spans="1:36" ht="18" customHeight="1">
      <c r="A67" s="5" t="s">
        <v>69</v>
      </c>
      <c r="B67" s="26">
        <f>'[1]SUMMARY BUDGET MOVES '!C67+'[1]SUMMARY BUDGET MOVES '!E67</f>
        <v>805</v>
      </c>
      <c r="C67" s="27"/>
      <c r="D67" s="26">
        <f>SUM('[1]SUMMARY BUDGET MOVES '!F67:N67)</f>
        <v>0</v>
      </c>
      <c r="E67" s="27"/>
      <c r="F67" s="26">
        <f t="shared" si="9"/>
        <v>805</v>
      </c>
      <c r="G67" s="27"/>
      <c r="H67" s="26">
        <f>SUM('[1]SUMMARY BUDGET MOVES '!P67:S67)+SUM('[1]SUMMARY BUDGET MOVES '!X67:AA67)+'[1]SUMMARY BUDGET MOVES '!V67</f>
        <v>0</v>
      </c>
      <c r="I67" s="27"/>
      <c r="J67" s="26">
        <f>SUM('[1]SUMMARY BUDGET MOVES '!AB67:AD67)+'[1]SUMMARY BUDGET MOVES '!W67</f>
        <v>0</v>
      </c>
      <c r="K67" s="28"/>
      <c r="L67" s="26">
        <f>'[1]SUMMARY BUDGET MOVES '!AF67+'[1]SUMMARY BUDGET MOVES '!U67</f>
        <v>16.1</v>
      </c>
      <c r="M67" s="27"/>
      <c r="N67" s="26">
        <f t="shared" si="10"/>
        <v>821.1</v>
      </c>
      <c r="O67" s="27"/>
      <c r="P67" s="26">
        <v>0</v>
      </c>
      <c r="Q67" s="28"/>
      <c r="R67" s="26">
        <v>0</v>
      </c>
      <c r="S67" s="28"/>
      <c r="T67" s="26">
        <f>(N67+P67)*2%</f>
        <v>16.422</v>
      </c>
      <c r="U67" s="27"/>
      <c r="V67" s="26">
        <f t="shared" si="11"/>
        <v>837.522</v>
      </c>
      <c r="W67" s="27"/>
      <c r="X67" s="26">
        <v>0</v>
      </c>
      <c r="Y67" s="28"/>
      <c r="Z67" s="26">
        <f>SUM('[1]SUMMARY BUDGET MOVES '!AR67:AT67)+'[1]SUMMARY BUDGET MOVES '!AM67</f>
        <v>0</v>
      </c>
      <c r="AA67" s="28"/>
      <c r="AB67" s="26">
        <f>(V67+X67)*2%</f>
        <v>16.75044</v>
      </c>
      <c r="AC67" s="27"/>
      <c r="AD67" s="26">
        <f t="shared" si="12"/>
        <v>854.2724400000001</v>
      </c>
      <c r="AE67" s="27"/>
      <c r="AF67" s="26">
        <v>0</v>
      </c>
      <c r="AG67" s="28"/>
      <c r="AH67" s="26">
        <f>(AD67+AF67)*2%</f>
        <v>17.0854488</v>
      </c>
      <c r="AI67" s="27"/>
      <c r="AJ67" s="26">
        <f t="shared" si="13"/>
        <v>871.3578888000001</v>
      </c>
    </row>
    <row r="68" spans="1:36" ht="18" customHeight="1">
      <c r="A68" s="5" t="s">
        <v>70</v>
      </c>
      <c r="B68" s="26">
        <f>'[1]SUMMARY BUDGET MOVES '!C68+'[1]SUMMARY BUDGET MOVES '!E68</f>
        <v>131</v>
      </c>
      <c r="C68" s="27"/>
      <c r="D68" s="26">
        <f>SUM('[1]SUMMARY BUDGET MOVES '!F68:N68)</f>
        <v>0</v>
      </c>
      <c r="E68" s="27"/>
      <c r="F68" s="26">
        <f t="shared" si="9"/>
        <v>131</v>
      </c>
      <c r="G68" s="27"/>
      <c r="H68" s="26">
        <f>SUM('[1]SUMMARY BUDGET MOVES '!P68:S68)+SUM('[1]SUMMARY BUDGET MOVES '!X68:AA68)+'[1]SUMMARY BUDGET MOVES '!V68</f>
        <v>0</v>
      </c>
      <c r="I68" s="27"/>
      <c r="J68" s="26">
        <f>SUM('[1]SUMMARY BUDGET MOVES '!AB68:AD68)+'[1]SUMMARY BUDGET MOVES '!W68</f>
        <v>0</v>
      </c>
      <c r="K68" s="28"/>
      <c r="L68" s="26">
        <f>'[1]SUMMARY BUDGET MOVES '!AF68+'[1]SUMMARY BUDGET MOVES '!U68</f>
        <v>2.62</v>
      </c>
      <c r="M68" s="27"/>
      <c r="N68" s="26">
        <f t="shared" si="10"/>
        <v>133.62</v>
      </c>
      <c r="O68" s="27"/>
      <c r="P68" s="26">
        <v>0</v>
      </c>
      <c r="Q68" s="28"/>
      <c r="R68" s="26">
        <v>0</v>
      </c>
      <c r="S68" s="28"/>
      <c r="T68" s="26">
        <f>(N68+P68)*2%</f>
        <v>2.6724</v>
      </c>
      <c r="U68" s="27"/>
      <c r="V68" s="26">
        <f t="shared" si="11"/>
        <v>136.29240000000001</v>
      </c>
      <c r="W68" s="27"/>
      <c r="X68" s="26">
        <v>0</v>
      </c>
      <c r="Y68" s="28"/>
      <c r="Z68" s="26">
        <f>SUM('[1]SUMMARY BUDGET MOVES '!AR68:AT68)+'[1]SUMMARY BUDGET MOVES '!AM68</f>
        <v>0</v>
      </c>
      <c r="AA68" s="28"/>
      <c r="AB68" s="26">
        <f>(V68+X68)*2%</f>
        <v>2.7258480000000005</v>
      </c>
      <c r="AC68" s="27"/>
      <c r="AD68" s="26">
        <f t="shared" si="12"/>
        <v>139.01824800000003</v>
      </c>
      <c r="AE68" s="27"/>
      <c r="AF68" s="26">
        <v>0</v>
      </c>
      <c r="AG68" s="28"/>
      <c r="AH68" s="26">
        <f>(AD68+AF68)*2%</f>
        <v>2.7803649600000004</v>
      </c>
      <c r="AI68" s="27"/>
      <c r="AJ68" s="26">
        <f t="shared" si="13"/>
        <v>141.79861296000004</v>
      </c>
    </row>
    <row r="69" spans="1:36" ht="18" customHeight="1">
      <c r="A69" s="5" t="s">
        <v>71</v>
      </c>
      <c r="B69" s="26">
        <f>'[1]SUMMARY BUDGET MOVES '!C69+'[1]SUMMARY BUDGET MOVES '!E69+'[1]SUMMARY BUDGET MOVES '!D69</f>
        <v>1150</v>
      </c>
      <c r="C69" s="27"/>
      <c r="D69" s="26">
        <f>SUM('[1]SUMMARY BUDGET MOVES '!F69:N69)</f>
        <v>-1150</v>
      </c>
      <c r="E69" s="27"/>
      <c r="F69" s="26">
        <f t="shared" si="9"/>
        <v>0</v>
      </c>
      <c r="G69" s="27"/>
      <c r="H69" s="26">
        <f>SUM('[1]SUMMARY BUDGET MOVES '!P69:S69)+SUM('[1]SUMMARY BUDGET MOVES '!X69:AA69)+'[1]SUMMARY BUDGET MOVES '!V69</f>
        <v>0</v>
      </c>
      <c r="I69" s="27"/>
      <c r="J69" s="26">
        <f>SUM('[1]SUMMARY BUDGET MOVES '!AB69:AD69)+'[1]SUMMARY BUDGET MOVES '!W69</f>
        <v>0</v>
      </c>
      <c r="K69" s="28"/>
      <c r="L69" s="26">
        <f>'[1]SUMMARY BUDGET MOVES '!AF69+'[1]SUMMARY BUDGET MOVES '!U69</f>
        <v>0</v>
      </c>
      <c r="M69" s="27"/>
      <c r="N69" s="26">
        <f t="shared" si="10"/>
        <v>0</v>
      </c>
      <c r="O69" s="27"/>
      <c r="P69" s="26">
        <v>0</v>
      </c>
      <c r="Q69" s="28"/>
      <c r="R69" s="26">
        <f>SUM('[1]SUMMARY BUDGET MOVES '!AJ69:AL69)+'[1]SUMMARY BUDGET MOVES '!AE69</f>
        <v>0</v>
      </c>
      <c r="S69" s="28"/>
      <c r="T69" s="26"/>
      <c r="U69" s="27"/>
      <c r="V69" s="26">
        <f t="shared" si="11"/>
        <v>0</v>
      </c>
      <c r="W69" s="27"/>
      <c r="X69" s="26">
        <v>0</v>
      </c>
      <c r="Y69" s="28"/>
      <c r="Z69" s="26">
        <f>SUM('[1]SUMMARY BUDGET MOVES '!AR69:AT69)+'[1]SUMMARY BUDGET MOVES '!AM69</f>
        <v>0</v>
      </c>
      <c r="AA69" s="28"/>
      <c r="AB69" s="26"/>
      <c r="AC69" s="27"/>
      <c r="AD69" s="26">
        <f t="shared" si="12"/>
        <v>0</v>
      </c>
      <c r="AE69" s="27"/>
      <c r="AF69" s="26">
        <v>0</v>
      </c>
      <c r="AG69" s="28"/>
      <c r="AH69" s="26"/>
      <c r="AI69" s="27"/>
      <c r="AJ69" s="26">
        <f t="shared" si="13"/>
        <v>0</v>
      </c>
    </row>
    <row r="70" spans="1:36" ht="18">
      <c r="A70" s="5" t="s">
        <v>72</v>
      </c>
      <c r="B70" s="26">
        <f>'[1]SUMMARY BUDGET MOVES '!C70+'[1]SUMMARY BUDGET MOVES '!E70+'[1]SUMMARY BUDGET MOVES '!D70</f>
        <v>5212.990427081599</v>
      </c>
      <c r="C70" s="27"/>
      <c r="D70" s="26">
        <f>SUM('[1]SUMMARY BUDGET MOVES '!F70:N70)</f>
        <v>-2844</v>
      </c>
      <c r="E70" s="27"/>
      <c r="F70" s="26">
        <f t="shared" si="9"/>
        <v>2368.9904270815987</v>
      </c>
      <c r="G70" s="27"/>
      <c r="H70" s="26">
        <f>SUM('[1]SUMMARY BUDGET MOVES '!P70:S70)+SUM('[1]SUMMARY BUDGET MOVES '!X70:AA70)+'[1]SUMMARY BUDGET MOVES '!V70</f>
        <v>10981</v>
      </c>
      <c r="I70" s="27"/>
      <c r="J70" s="26">
        <f>SUM('[1]SUMMARY BUDGET MOVES '!AB70:AD70)+'[1]SUMMARY BUDGET MOVES '!W70</f>
        <v>-10289</v>
      </c>
      <c r="K70" s="28"/>
      <c r="L70" s="26">
        <f>'[1]SUMMARY BUDGET MOVES '!AF70+'[1]SUMMARY BUDGET MOVES '!U70</f>
        <v>13.92</v>
      </c>
      <c r="M70" s="27"/>
      <c r="N70" s="26">
        <f t="shared" si="10"/>
        <v>3074.9104270815988</v>
      </c>
      <c r="O70" s="27"/>
      <c r="P70" s="26">
        <v>675</v>
      </c>
      <c r="Q70" s="28"/>
      <c r="R70" s="26">
        <v>0</v>
      </c>
      <c r="S70" s="28"/>
      <c r="T70" s="26">
        <f>L70*1.02</f>
        <v>14.1984</v>
      </c>
      <c r="U70" s="27"/>
      <c r="V70" s="26">
        <f t="shared" si="11"/>
        <v>3764.108827081599</v>
      </c>
      <c r="W70" s="27"/>
      <c r="X70" s="26">
        <v>0</v>
      </c>
      <c r="Y70" s="28"/>
      <c r="Z70" s="26">
        <f>SUM('[1]SUMMARY BUDGET MOVES '!AR70:AT70)+'[1]SUMMARY BUDGET MOVES '!AM70</f>
        <v>0</v>
      </c>
      <c r="AA70" s="28"/>
      <c r="AB70" s="26">
        <f>T70*1.02</f>
        <v>14.482368</v>
      </c>
      <c r="AC70" s="27"/>
      <c r="AD70" s="26">
        <f t="shared" si="12"/>
        <v>3778.591195081599</v>
      </c>
      <c r="AE70" s="27"/>
      <c r="AF70" s="26">
        <v>0</v>
      </c>
      <c r="AG70" s="28"/>
      <c r="AH70" s="26">
        <f>AB70*1.02</f>
        <v>14.77201536</v>
      </c>
      <c r="AI70" s="27"/>
      <c r="AJ70" s="26">
        <f t="shared" si="13"/>
        <v>3793.3632104415988</v>
      </c>
    </row>
    <row r="71" spans="1:36" ht="18">
      <c r="A71" s="5" t="s">
        <v>73</v>
      </c>
      <c r="B71" s="26">
        <f>'[1]SUMMARY BUDGET MOVES '!C71+'[1]SUMMARY BUDGET MOVES '!E71</f>
        <v>2127</v>
      </c>
      <c r="C71" s="27"/>
      <c r="D71" s="26">
        <f>SUM('[1]SUMMARY BUDGET MOVES '!F71:N71)</f>
        <v>0</v>
      </c>
      <c r="E71" s="27"/>
      <c r="F71" s="26">
        <f t="shared" si="9"/>
        <v>2127</v>
      </c>
      <c r="G71" s="27"/>
      <c r="H71" s="26">
        <f>SUM('[1]SUMMARY BUDGET MOVES '!P71:S71)+SUM('[1]SUMMARY BUDGET MOVES '!X71:AA71)+'[1]SUMMARY BUDGET MOVES '!V71</f>
        <v>245</v>
      </c>
      <c r="I71" s="27"/>
      <c r="J71" s="26">
        <f>SUM('[1]SUMMARY BUDGET MOVES '!AB71:AD71)+'[1]SUMMARY BUDGET MOVES '!W71</f>
        <v>0</v>
      </c>
      <c r="K71" s="28"/>
      <c r="L71" s="26">
        <f>'[1]SUMMARY BUDGET MOVES '!AF71+'[1]SUMMARY BUDGET MOVES '!U71</f>
        <v>118.60000000000001</v>
      </c>
      <c r="M71" s="27"/>
      <c r="N71" s="42">
        <f t="shared" si="10"/>
        <v>2490.6</v>
      </c>
      <c r="O71" s="43"/>
      <c r="P71" s="26">
        <v>0</v>
      </c>
      <c r="Q71" s="28"/>
      <c r="R71" s="26">
        <v>0</v>
      </c>
      <c r="S71" s="28"/>
      <c r="T71" s="26">
        <f>(N71+P71)*3%</f>
        <v>74.71799999999999</v>
      </c>
      <c r="U71" s="27"/>
      <c r="V71" s="26">
        <f t="shared" si="11"/>
        <v>2565.3179999999998</v>
      </c>
      <c r="W71" s="27"/>
      <c r="X71" s="26">
        <v>0</v>
      </c>
      <c r="Y71" s="28"/>
      <c r="Z71" s="26">
        <f>SUM('[1]SUMMARY BUDGET MOVES '!AR71:AT71)+'[1]SUMMARY BUDGET MOVES '!AM71</f>
        <v>0</v>
      </c>
      <c r="AA71" s="28"/>
      <c r="AB71" s="26">
        <f>(V71+X71)*3%</f>
        <v>76.95953999999999</v>
      </c>
      <c r="AC71" s="27"/>
      <c r="AD71" s="26">
        <f t="shared" si="12"/>
        <v>2642.2775399999996</v>
      </c>
      <c r="AE71" s="27"/>
      <c r="AF71" s="26">
        <v>0</v>
      </c>
      <c r="AG71" s="28"/>
      <c r="AH71" s="26">
        <f>(AD71+AF71)*3%</f>
        <v>79.26832619999999</v>
      </c>
      <c r="AI71" s="27"/>
      <c r="AJ71" s="26">
        <f t="shared" si="13"/>
        <v>2721.5458661999996</v>
      </c>
    </row>
    <row r="72" spans="1:36" ht="18">
      <c r="A72" s="5" t="s">
        <v>74</v>
      </c>
      <c r="B72" s="26">
        <f>'[1]SUMMARY BUDGET MOVES '!C72+'[1]SUMMARY BUDGET MOVES '!E72</f>
        <v>-2720</v>
      </c>
      <c r="C72" s="27"/>
      <c r="D72" s="26">
        <f>SUM('[1]SUMMARY BUDGET MOVES '!F72:N72)</f>
        <v>0</v>
      </c>
      <c r="E72" s="27"/>
      <c r="F72" s="26">
        <f t="shared" si="9"/>
        <v>-2720</v>
      </c>
      <c r="G72" s="27"/>
      <c r="H72" s="26">
        <f>SUM('[1]SUMMARY BUDGET MOVES '!P72:S72)+SUM('[1]SUMMARY BUDGET MOVES '!X72:AA72)+'[1]SUMMARY BUDGET MOVES '!V72</f>
        <v>0</v>
      </c>
      <c r="I72" s="27"/>
      <c r="J72" s="26">
        <f>SUM('[1]SUMMARY BUDGET MOVES '!AB72:AD72)+'[1]SUMMARY BUDGET MOVES '!W72</f>
        <v>0</v>
      </c>
      <c r="K72" s="28"/>
      <c r="L72" s="26">
        <f>'[1]SUMMARY BUDGET MOVES '!AF72+'[1]SUMMARY BUDGET MOVES '!U72</f>
        <v>0</v>
      </c>
      <c r="M72" s="27"/>
      <c r="N72" s="26">
        <f t="shared" si="10"/>
        <v>-2720</v>
      </c>
      <c r="O72" s="27"/>
      <c r="P72" s="26">
        <v>0</v>
      </c>
      <c r="Q72" s="28"/>
      <c r="R72" s="26">
        <v>0</v>
      </c>
      <c r="S72" s="28"/>
      <c r="T72" s="26">
        <v>0</v>
      </c>
      <c r="U72" s="27"/>
      <c r="V72" s="26">
        <f t="shared" si="11"/>
        <v>-2720</v>
      </c>
      <c r="W72" s="27"/>
      <c r="X72" s="26">
        <v>0</v>
      </c>
      <c r="Y72" s="28"/>
      <c r="Z72" s="26">
        <f>SUM('[1]SUMMARY BUDGET MOVES '!AR72:AT72)+'[1]SUMMARY BUDGET MOVES '!AM72</f>
        <v>0</v>
      </c>
      <c r="AA72" s="28"/>
      <c r="AB72" s="26">
        <v>0</v>
      </c>
      <c r="AC72" s="27"/>
      <c r="AD72" s="26">
        <f t="shared" si="12"/>
        <v>-2720</v>
      </c>
      <c r="AE72" s="27"/>
      <c r="AF72" s="26">
        <v>0</v>
      </c>
      <c r="AG72" s="28"/>
      <c r="AH72" s="26">
        <v>0</v>
      </c>
      <c r="AI72" s="27"/>
      <c r="AJ72" s="26">
        <f t="shared" si="13"/>
        <v>-2720</v>
      </c>
    </row>
    <row r="73" spans="1:36" ht="18">
      <c r="A73" s="3" t="s">
        <v>75</v>
      </c>
      <c r="B73" s="26">
        <f>'[1]SUMMARY BUDGET MOVES '!C73+'[1]SUMMARY BUDGET MOVES '!E73</f>
        <v>-18508</v>
      </c>
      <c r="C73" s="27"/>
      <c r="D73" s="26">
        <f>SUM('[1]SUMMARY BUDGET MOVES '!F73:N73)</f>
        <v>-38</v>
      </c>
      <c r="E73" s="27"/>
      <c r="F73" s="26">
        <f t="shared" si="9"/>
        <v>-18546</v>
      </c>
      <c r="G73" s="27"/>
      <c r="H73" s="26">
        <f>SUM('[1]SUMMARY BUDGET MOVES '!P73:S73)+SUM('[1]SUMMARY BUDGET MOVES '!X73:AA73)+'[1]SUMMARY BUDGET MOVES '!V73</f>
        <v>14507</v>
      </c>
      <c r="I73" s="27"/>
      <c r="J73" s="26">
        <f>SUM('[1]SUMMARY BUDGET MOVES '!AB73:AD73)+'[1]SUMMARY BUDGET MOVES '!W73</f>
        <v>157</v>
      </c>
      <c r="K73" s="28"/>
      <c r="L73" s="26">
        <f>'[1]SUMMARY BUDGET MOVES '!AF73+'[1]SUMMARY BUDGET MOVES '!U73</f>
        <v>-28.98</v>
      </c>
      <c r="M73" s="27"/>
      <c r="N73" s="26">
        <f t="shared" si="10"/>
        <v>-3910.98</v>
      </c>
      <c r="O73" s="27"/>
      <c r="P73" s="26">
        <v>0</v>
      </c>
      <c r="Q73" s="28"/>
      <c r="R73" s="26">
        <v>43</v>
      </c>
      <c r="S73" s="28"/>
      <c r="T73" s="26">
        <f>L73*1.02</f>
        <v>-29.5596</v>
      </c>
      <c r="U73" s="27"/>
      <c r="V73" s="26">
        <f t="shared" si="11"/>
        <v>-3897.5396</v>
      </c>
      <c r="W73" s="27"/>
      <c r="X73" s="26">
        <v>0</v>
      </c>
      <c r="Y73" s="28"/>
      <c r="Z73" s="26">
        <f>SUM('[1]SUMMARY BUDGET MOVES '!AR73:AT73)+'[1]SUMMARY BUDGET MOVES '!AM73</f>
        <v>0</v>
      </c>
      <c r="AA73" s="28"/>
      <c r="AB73" s="26">
        <v>0</v>
      </c>
      <c r="AC73" s="27"/>
      <c r="AD73" s="26">
        <f t="shared" si="12"/>
        <v>-3897.5396</v>
      </c>
      <c r="AE73" s="27"/>
      <c r="AF73" s="26">
        <v>0</v>
      </c>
      <c r="AG73" s="28"/>
      <c r="AH73" s="26">
        <f>AB73*1.02</f>
        <v>0</v>
      </c>
      <c r="AI73" s="27"/>
      <c r="AJ73" s="26">
        <f t="shared" si="13"/>
        <v>-3897.5396</v>
      </c>
    </row>
    <row r="74" spans="1:36" ht="18.75" thickBot="1">
      <c r="A74" s="35" t="s">
        <v>76</v>
      </c>
      <c r="B74" s="34">
        <f>SUM(B59:B73)</f>
        <v>16732.990427081597</v>
      </c>
      <c r="C74" s="27"/>
      <c r="D74" s="34">
        <f>SUM(D59:D73)</f>
        <v>-4972</v>
      </c>
      <c r="E74" s="27"/>
      <c r="F74" s="34">
        <f t="shared" si="9"/>
        <v>11760.990427081597</v>
      </c>
      <c r="G74" s="27"/>
      <c r="H74" s="26">
        <f>SUM(H59:H73)</f>
        <v>17902</v>
      </c>
      <c r="I74" s="27"/>
      <c r="J74" s="26">
        <f>SUM(J59:J73)</f>
        <v>-10155</v>
      </c>
      <c r="K74" s="28"/>
      <c r="L74" s="34">
        <f>SUM(L59:L73)</f>
        <v>371.56933333333336</v>
      </c>
      <c r="M74" s="27"/>
      <c r="N74" s="34">
        <f t="shared" si="10"/>
        <v>19879.55976041493</v>
      </c>
      <c r="O74" s="27"/>
      <c r="P74" s="34">
        <f>SUM(P59:P73)</f>
        <v>-175</v>
      </c>
      <c r="Q74" s="28"/>
      <c r="R74" s="26">
        <f>SUM(R59:R73)</f>
        <v>-369</v>
      </c>
      <c r="S74" s="28"/>
      <c r="T74" s="34">
        <f>SUM(T59:T73)</f>
        <v>411.89608000000004</v>
      </c>
      <c r="U74" s="27"/>
      <c r="V74" s="34">
        <f t="shared" si="11"/>
        <v>19747.45584041493</v>
      </c>
      <c r="W74" s="27"/>
      <c r="X74" s="34">
        <f>SUM(X59:X73)</f>
        <v>0</v>
      </c>
      <c r="Y74" s="28"/>
      <c r="Z74" s="26">
        <f>SUM(Z59:Z73)</f>
        <v>0</v>
      </c>
      <c r="AA74" s="28"/>
      <c r="AB74" s="34">
        <f>SUM(AB59:AB73)</f>
        <v>456.11653240000004</v>
      </c>
      <c r="AC74" s="27"/>
      <c r="AD74" s="34">
        <f t="shared" si="12"/>
        <v>20203.572372814928</v>
      </c>
      <c r="AE74" s="27"/>
      <c r="AF74" s="34">
        <f>SUM(AF59:AF73)</f>
        <v>500</v>
      </c>
      <c r="AG74" s="28"/>
      <c r="AH74" s="34">
        <f>SUM(AH59:AH73)</f>
        <v>471.299546512</v>
      </c>
      <c r="AI74" s="27"/>
      <c r="AJ74" s="34">
        <f t="shared" si="13"/>
        <v>21174.871919326928</v>
      </c>
    </row>
    <row r="75" spans="2:36" ht="18.75" thickBot="1">
      <c r="B75" s="39"/>
      <c r="C75" s="37"/>
      <c r="D75" s="39"/>
      <c r="E75" s="37"/>
      <c r="F75" s="39"/>
      <c r="G75" s="37"/>
      <c r="H75" s="39"/>
      <c r="I75" s="27"/>
      <c r="J75" s="39"/>
      <c r="K75" s="37"/>
      <c r="L75" s="39"/>
      <c r="M75" s="27"/>
      <c r="N75" s="39"/>
      <c r="O75" s="37"/>
      <c r="P75" s="39"/>
      <c r="Q75" s="37"/>
      <c r="R75" s="39"/>
      <c r="S75" s="37"/>
      <c r="T75" s="39"/>
      <c r="U75" s="27"/>
      <c r="V75" s="39"/>
      <c r="W75" s="37"/>
      <c r="X75" s="39"/>
      <c r="Y75" s="37"/>
      <c r="Z75" s="39"/>
      <c r="AA75" s="37"/>
      <c r="AB75" s="39"/>
      <c r="AC75" s="27"/>
      <c r="AD75" s="39"/>
      <c r="AE75" s="27"/>
      <c r="AF75" s="39"/>
      <c r="AG75" s="37"/>
      <c r="AH75" s="39"/>
      <c r="AI75" s="27"/>
      <c r="AJ75" s="39"/>
    </row>
    <row r="76" spans="1:36" ht="7.5" customHeight="1">
      <c r="A76" s="44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2:36" ht="8.25" customHeight="1" thickBot="1">
      <c r="B77" s="45"/>
      <c r="C77" s="37"/>
      <c r="D77" s="45"/>
      <c r="E77" s="37"/>
      <c r="F77" s="45"/>
      <c r="G77" s="37"/>
      <c r="H77" s="46"/>
      <c r="I77" s="27"/>
      <c r="J77" s="45"/>
      <c r="K77" s="37"/>
      <c r="L77" s="46"/>
      <c r="M77" s="27"/>
      <c r="N77" s="45"/>
      <c r="O77" s="37"/>
      <c r="P77" s="46"/>
      <c r="Q77" s="37"/>
      <c r="R77" s="45"/>
      <c r="S77" s="37"/>
      <c r="T77" s="46"/>
      <c r="U77" s="27"/>
      <c r="V77" s="45"/>
      <c r="W77" s="37"/>
      <c r="X77" s="46"/>
      <c r="Y77" s="37"/>
      <c r="Z77" s="45"/>
      <c r="AA77" s="37"/>
      <c r="AB77" s="46"/>
      <c r="AC77" s="27"/>
      <c r="AD77" s="45"/>
      <c r="AE77" s="27"/>
      <c r="AF77" s="46"/>
      <c r="AG77" s="37"/>
      <c r="AH77" s="46"/>
      <c r="AI77" s="27"/>
      <c r="AJ77" s="45"/>
    </row>
    <row r="78" spans="1:38" ht="26.25" customHeight="1" thickBot="1">
      <c r="A78" s="47" t="s">
        <v>77</v>
      </c>
      <c r="B78" s="36">
        <f>B53+B74</f>
        <v>415974.3434602978</v>
      </c>
      <c r="C78" s="27"/>
      <c r="D78" s="48">
        <f>D53+D74</f>
        <v>-17224.8</v>
      </c>
      <c r="E78" s="27"/>
      <c r="F78" s="48">
        <f>F53+F74</f>
        <v>398749.54346029775</v>
      </c>
      <c r="G78" s="27"/>
      <c r="H78" s="48">
        <f>H53+H74</f>
        <v>21529.211009174312</v>
      </c>
      <c r="I78" s="27"/>
      <c r="J78" s="48">
        <f>J53+J74</f>
        <v>-26532.066666666666</v>
      </c>
      <c r="K78" s="27"/>
      <c r="L78" s="48">
        <f>L53+L74</f>
        <v>5457.81739247045</v>
      </c>
      <c r="M78" s="27"/>
      <c r="N78" s="36">
        <f>N53+N74</f>
        <v>399204.5051952759</v>
      </c>
      <c r="O78" s="27"/>
      <c r="P78" s="36">
        <f>P53+P74</f>
        <v>5869</v>
      </c>
      <c r="Q78" s="27"/>
      <c r="R78" s="36">
        <f>R53+R74</f>
        <v>-18500.125</v>
      </c>
      <c r="S78" s="27"/>
      <c r="T78" s="36">
        <f>T53+T74</f>
        <v>6457.399752347535</v>
      </c>
      <c r="U78" s="27"/>
      <c r="V78" s="36">
        <f>V53+V74</f>
        <v>393030.7799476234</v>
      </c>
      <c r="W78" s="27"/>
      <c r="X78" s="36">
        <f>X53+X74</f>
        <v>13922</v>
      </c>
      <c r="Y78" s="27"/>
      <c r="Z78" s="36">
        <f>Z53+Z74</f>
        <v>-18877.45833333332</v>
      </c>
      <c r="AA78" s="27"/>
      <c r="AB78" s="36">
        <f>AB53+AB74</f>
        <v>8814.188032161634</v>
      </c>
      <c r="AC78" s="27"/>
      <c r="AD78" s="36">
        <f>AD53+AD74</f>
        <v>396889.50964645174</v>
      </c>
      <c r="AE78" s="27"/>
      <c r="AF78" s="36">
        <f>AF53+AF74</f>
        <v>4700</v>
      </c>
      <c r="AG78" s="27"/>
      <c r="AH78" s="36">
        <f>AH53+AH74</f>
        <v>10268.465365650114</v>
      </c>
      <c r="AI78" s="27"/>
      <c r="AJ78" s="49">
        <f>AJ53+AJ74</f>
        <v>411857.9750121019</v>
      </c>
      <c r="AK78" s="27"/>
      <c r="AL78" s="50" t="s">
        <v>0</v>
      </c>
    </row>
    <row r="79" spans="1:38" ht="18.75" thickTop="1">
      <c r="A79" s="23"/>
      <c r="B79" s="40"/>
      <c r="C79" s="37"/>
      <c r="D79" s="51"/>
      <c r="E79" s="37"/>
      <c r="F79" s="51"/>
      <c r="G79" s="27"/>
      <c r="H79" s="26"/>
      <c r="I79" s="27"/>
      <c r="J79" s="51"/>
      <c r="K79" s="27"/>
      <c r="L79" s="26"/>
      <c r="M79" s="27"/>
      <c r="N79" s="40"/>
      <c r="O79" s="37"/>
      <c r="P79" s="41"/>
      <c r="Q79" s="37"/>
      <c r="R79" s="40"/>
      <c r="S79" s="37"/>
      <c r="T79" s="52"/>
      <c r="U79" s="27"/>
      <c r="V79" s="40"/>
      <c r="W79" s="37"/>
      <c r="X79" s="41"/>
      <c r="Y79" s="37"/>
      <c r="Z79" s="40"/>
      <c r="AA79" s="37"/>
      <c r="AB79" s="53"/>
      <c r="AC79" s="27"/>
      <c r="AD79" s="40"/>
      <c r="AE79" s="27"/>
      <c r="AF79" s="41"/>
      <c r="AG79" s="37"/>
      <c r="AH79" s="41"/>
      <c r="AI79" s="27"/>
      <c r="AJ79" s="54"/>
      <c r="AK79" s="55"/>
      <c r="AL79" s="50" t="s">
        <v>0</v>
      </c>
    </row>
    <row r="80" spans="1:38" ht="18">
      <c r="A80" s="5" t="s">
        <v>78</v>
      </c>
      <c r="B80" s="26">
        <v>1736</v>
      </c>
      <c r="C80" s="27"/>
      <c r="D80" s="26">
        <f>73/416</f>
        <v>0.17548076923076922</v>
      </c>
      <c r="E80" s="27"/>
      <c r="F80" s="26">
        <f>B80+D80</f>
        <v>1736.1754807692307</v>
      </c>
      <c r="G80" s="27"/>
      <c r="H80" s="26">
        <v>0</v>
      </c>
      <c r="I80" s="27"/>
      <c r="J80" s="26">
        <f>'[1]MTFF '!D80</f>
        <v>-73</v>
      </c>
      <c r="K80" s="28"/>
      <c r="L80" s="26">
        <f>F80*1.5%</f>
        <v>26.04263221153846</v>
      </c>
      <c r="M80" s="27"/>
      <c r="N80" s="26">
        <f>SUM(F80:L80)</f>
        <v>1689.218112980769</v>
      </c>
      <c r="O80" s="27"/>
      <c r="P80" s="26">
        <v>0</v>
      </c>
      <c r="Q80" s="28"/>
      <c r="R80" s="26">
        <f>'[1]MTFF '!J80</f>
        <v>-77</v>
      </c>
      <c r="S80" s="28"/>
      <c r="T80" s="26">
        <v>25</v>
      </c>
      <c r="U80" s="27" t="s">
        <v>0</v>
      </c>
      <c r="V80" s="26">
        <f>SUM(N80:T80)</f>
        <v>1637.218112980769</v>
      </c>
      <c r="W80" s="27"/>
      <c r="X80" s="26">
        <v>0</v>
      </c>
      <c r="Y80" s="28"/>
      <c r="Z80" s="26">
        <f>'[1]MTFF '!P80</f>
        <v>-23</v>
      </c>
      <c r="AA80" s="28"/>
      <c r="AB80" s="26">
        <v>33</v>
      </c>
      <c r="AC80" s="27" t="s">
        <v>0</v>
      </c>
      <c r="AD80" s="26">
        <f>SUM(V80:AB80)</f>
        <v>1647.218112980769</v>
      </c>
      <c r="AE80" s="27"/>
      <c r="AF80" s="26">
        <v>0</v>
      </c>
      <c r="AG80" s="28"/>
      <c r="AH80" s="26">
        <f>(AD80+AF80)*1.5%</f>
        <v>24.708271694711534</v>
      </c>
      <c r="AI80" s="27" t="s">
        <v>0</v>
      </c>
      <c r="AJ80" s="42">
        <f>SUM(AD80:AH80)</f>
        <v>1671.9263846754807</v>
      </c>
      <c r="AK80" s="27"/>
      <c r="AL80" s="3">
        <f>AD80-B80</f>
        <v>-88.78188701923091</v>
      </c>
    </row>
    <row r="81" spans="2:37" ht="18">
      <c r="B81" s="26"/>
      <c r="C81" s="27"/>
      <c r="D81" s="26"/>
      <c r="E81" s="27"/>
      <c r="F81" s="26"/>
      <c r="G81" s="27"/>
      <c r="H81" s="26"/>
      <c r="I81" s="27"/>
      <c r="J81" s="56"/>
      <c r="K81" s="28"/>
      <c r="L81" s="26"/>
      <c r="M81" s="27"/>
      <c r="N81" s="26"/>
      <c r="O81" s="27"/>
      <c r="P81" s="26"/>
      <c r="Q81" s="28"/>
      <c r="R81" s="57"/>
      <c r="S81" s="28"/>
      <c r="T81" s="26"/>
      <c r="U81" s="27"/>
      <c r="V81" s="26"/>
      <c r="W81" s="27"/>
      <c r="X81" s="26"/>
      <c r="Y81" s="28"/>
      <c r="Z81" s="26"/>
      <c r="AA81" s="28"/>
      <c r="AB81" s="26"/>
      <c r="AC81" s="27"/>
      <c r="AD81" s="26"/>
      <c r="AE81" s="27"/>
      <c r="AF81" s="26"/>
      <c r="AG81" s="28"/>
      <c r="AH81" s="26"/>
      <c r="AI81" s="27"/>
      <c r="AJ81" s="42"/>
      <c r="AK81" s="55"/>
    </row>
    <row r="82" spans="1:36" ht="18">
      <c r="A82" s="5" t="s">
        <v>79</v>
      </c>
      <c r="B82" s="26">
        <v>-3916</v>
      </c>
      <c r="C82" s="27"/>
      <c r="D82" s="26"/>
      <c r="E82" s="27"/>
      <c r="F82" s="26">
        <f>B82+D82</f>
        <v>-3916</v>
      </c>
      <c r="G82" s="27"/>
      <c r="H82" s="26">
        <v>5292</v>
      </c>
      <c r="I82" s="27"/>
      <c r="J82" s="57"/>
      <c r="K82" s="28"/>
      <c r="L82" s="58"/>
      <c r="M82" s="27"/>
      <c r="N82" s="26">
        <f>SUM(F82:L82)</f>
        <v>1376</v>
      </c>
      <c r="O82" s="27"/>
      <c r="P82" s="26">
        <v>0</v>
      </c>
      <c r="Q82" s="28"/>
      <c r="R82" s="26"/>
      <c r="S82" s="28"/>
      <c r="T82" s="26"/>
      <c r="U82" s="27"/>
      <c r="V82" s="26">
        <f>SUM(N82:T82)</f>
        <v>1376</v>
      </c>
      <c r="W82" s="27"/>
      <c r="X82" s="26"/>
      <c r="Y82" s="28"/>
      <c r="Z82" s="26"/>
      <c r="AA82" s="28"/>
      <c r="AB82" s="26"/>
      <c r="AC82" s="27"/>
      <c r="AD82" s="26">
        <f>SUM(V82:AB82)</f>
        <v>1376</v>
      </c>
      <c r="AE82" s="27"/>
      <c r="AF82" s="26"/>
      <c r="AG82" s="28"/>
      <c r="AH82" s="26"/>
      <c r="AI82" s="27"/>
      <c r="AJ82" s="26">
        <f>SUM(AD82:AH82)</f>
        <v>1376</v>
      </c>
    </row>
    <row r="83" spans="2:36" ht="18">
      <c r="B83" s="26"/>
      <c r="C83" s="27"/>
      <c r="D83" s="26"/>
      <c r="E83" s="27"/>
      <c r="F83" s="26"/>
      <c r="G83" s="27"/>
      <c r="H83" s="26"/>
      <c r="I83" s="27"/>
      <c r="J83" s="56"/>
      <c r="K83" s="28"/>
      <c r="L83" s="26"/>
      <c r="M83" s="27"/>
      <c r="N83" s="26"/>
      <c r="O83" s="27"/>
      <c r="P83" s="26"/>
      <c r="Q83" s="28"/>
      <c r="R83" s="26"/>
      <c r="S83" s="28"/>
      <c r="T83" s="26"/>
      <c r="U83" s="27"/>
      <c r="V83" s="26"/>
      <c r="W83" s="27"/>
      <c r="X83" s="26"/>
      <c r="Y83" s="28"/>
      <c r="Z83" s="26"/>
      <c r="AA83" s="28"/>
      <c r="AB83" s="26"/>
      <c r="AC83" s="27"/>
      <c r="AD83" s="26"/>
      <c r="AE83" s="27"/>
      <c r="AF83" s="26"/>
      <c r="AG83" s="28"/>
      <c r="AH83" s="26"/>
      <c r="AI83" s="27"/>
      <c r="AJ83" s="26"/>
    </row>
    <row r="84" spans="1:36" ht="18">
      <c r="A84" s="5" t="s">
        <v>100</v>
      </c>
      <c r="B84" s="26">
        <v>3916</v>
      </c>
      <c r="C84" s="27"/>
      <c r="D84" s="26"/>
      <c r="E84" s="27"/>
      <c r="F84" s="26">
        <f>B84+D84</f>
        <v>3916</v>
      </c>
      <c r="G84" s="27"/>
      <c r="H84" s="26">
        <v>0</v>
      </c>
      <c r="I84" s="27"/>
      <c r="J84" s="26"/>
      <c r="K84" s="28"/>
      <c r="L84" s="26"/>
      <c r="M84" s="27"/>
      <c r="N84" s="26">
        <f>SUM(F84:L84)</f>
        <v>3916</v>
      </c>
      <c r="O84" s="27"/>
      <c r="P84" s="26"/>
      <c r="Q84" s="28"/>
      <c r="R84" s="26"/>
      <c r="S84" s="28"/>
      <c r="T84" s="26"/>
      <c r="U84" s="27"/>
      <c r="V84" s="26">
        <f>SUM(N84:T84)</f>
        <v>3916</v>
      </c>
      <c r="W84" s="27"/>
      <c r="X84" s="26"/>
      <c r="Y84" s="28"/>
      <c r="Z84" s="26"/>
      <c r="AA84" s="28"/>
      <c r="AB84" s="26"/>
      <c r="AC84" s="27"/>
      <c r="AD84" s="26">
        <f>SUM(V84:AB84)</f>
        <v>3916</v>
      </c>
      <c r="AE84" s="27"/>
      <c r="AF84" s="26"/>
      <c r="AG84" s="28"/>
      <c r="AH84" s="26"/>
      <c r="AI84" s="27"/>
      <c r="AJ84" s="26">
        <f>SUM(AD84:AH84)</f>
        <v>3916</v>
      </c>
    </row>
    <row r="85" spans="1:36" ht="18">
      <c r="A85" s="5" t="s">
        <v>0</v>
      </c>
      <c r="B85" s="26"/>
      <c r="C85" s="27"/>
      <c r="D85" s="26"/>
      <c r="E85" s="27"/>
      <c r="F85" s="26"/>
      <c r="G85" s="27"/>
      <c r="H85" s="26"/>
      <c r="I85" s="27"/>
      <c r="J85" s="26"/>
      <c r="K85" s="28"/>
      <c r="L85" s="26"/>
      <c r="M85" s="27"/>
      <c r="N85" s="26"/>
      <c r="O85" s="27"/>
      <c r="P85" s="26"/>
      <c r="Q85" s="28"/>
      <c r="R85" s="26"/>
      <c r="S85" s="28"/>
      <c r="T85" s="26"/>
      <c r="U85" s="27"/>
      <c r="V85" s="26"/>
      <c r="W85" s="27"/>
      <c r="X85" s="26"/>
      <c r="Y85" s="28"/>
      <c r="Z85" s="26"/>
      <c r="AA85" s="28"/>
      <c r="AB85" s="26"/>
      <c r="AC85" s="27"/>
      <c r="AD85" s="26"/>
      <c r="AE85" s="27"/>
      <c r="AF85" s="26"/>
      <c r="AG85" s="28"/>
      <c r="AH85" s="26"/>
      <c r="AI85" s="27"/>
      <c r="AJ85" s="26"/>
    </row>
    <row r="86" spans="1:37" ht="18">
      <c r="A86" s="5" t="s">
        <v>80</v>
      </c>
      <c r="B86" s="26"/>
      <c r="C86" s="27"/>
      <c r="D86" s="26"/>
      <c r="E86" s="27"/>
      <c r="F86" s="26"/>
      <c r="G86" s="27"/>
      <c r="H86" s="26">
        <f>'[1]People Forecast  Cumulative'!F64</f>
        <v>2090.025</v>
      </c>
      <c r="I86" s="27"/>
      <c r="J86" s="26"/>
      <c r="K86" s="28"/>
      <c r="L86" s="26"/>
      <c r="M86" s="27"/>
      <c r="N86" s="26">
        <f>SUM(F86:L86)</f>
        <v>2090.025</v>
      </c>
      <c r="O86" s="27"/>
      <c r="P86" s="26">
        <f>'[1]People Forecast  Cumulative'!G67-'[1]People Forecast  Cumulative'!F67</f>
        <v>3712.396333333334</v>
      </c>
      <c r="Q86" s="28"/>
      <c r="R86" s="26"/>
      <c r="S86" s="28"/>
      <c r="T86" s="26"/>
      <c r="U86" s="27"/>
      <c r="V86" s="26">
        <f>SUM(N86:T86)</f>
        <v>5802.421333333334</v>
      </c>
      <c r="W86" s="27"/>
      <c r="X86" s="26">
        <f>'[1]People Forecast  Cumulative'!H67-'[1]People Forecast  Cumulative'!G67</f>
        <v>2838.2101416666683</v>
      </c>
      <c r="Y86" s="28"/>
      <c r="Z86" s="26"/>
      <c r="AA86" s="28"/>
      <c r="AB86" s="26"/>
      <c r="AC86" s="27"/>
      <c r="AD86" s="26">
        <f>SUM(V86:AB86)</f>
        <v>8640.631475000002</v>
      </c>
      <c r="AE86" s="27"/>
      <c r="AF86" s="26"/>
      <c r="AG86" s="28"/>
      <c r="AH86" s="26"/>
      <c r="AI86" s="27"/>
      <c r="AJ86" s="26">
        <f>SUM(AD86:AH86)</f>
        <v>8640.631475000002</v>
      </c>
      <c r="AK86" s="29"/>
    </row>
    <row r="87" spans="2:36" ht="18">
      <c r="B87" s="26"/>
      <c r="C87" s="27"/>
      <c r="D87" s="26"/>
      <c r="E87" s="27"/>
      <c r="F87" s="26"/>
      <c r="G87" s="27"/>
      <c r="H87" s="26"/>
      <c r="I87" s="27"/>
      <c r="J87" s="26"/>
      <c r="K87" s="28"/>
      <c r="L87" s="26"/>
      <c r="M87" s="27"/>
      <c r="N87" s="26"/>
      <c r="O87" s="27"/>
      <c r="P87" s="26"/>
      <c r="Q87" s="28"/>
      <c r="R87" s="26"/>
      <c r="S87" s="28"/>
      <c r="T87" s="26"/>
      <c r="U87" s="27"/>
      <c r="V87" s="26"/>
      <c r="W87" s="27"/>
      <c r="X87" s="26"/>
      <c r="Y87" s="28"/>
      <c r="Z87" s="26"/>
      <c r="AA87" s="28"/>
      <c r="AB87" s="26"/>
      <c r="AC87" s="27"/>
      <c r="AD87" s="26"/>
      <c r="AE87" s="27"/>
      <c r="AF87" s="26"/>
      <c r="AG87" s="28"/>
      <c r="AH87" s="26"/>
      <c r="AI87" s="27"/>
      <c r="AJ87" s="26"/>
    </row>
    <row r="88" spans="1:36" ht="18">
      <c r="A88" s="5" t="s">
        <v>2</v>
      </c>
      <c r="B88" s="26"/>
      <c r="C88" s="27"/>
      <c r="D88" s="26"/>
      <c r="E88" s="27"/>
      <c r="F88" s="26"/>
      <c r="G88" s="27"/>
      <c r="H88" s="26">
        <f>'[1]People Forecast '!F70</f>
        <v>1691.5</v>
      </c>
      <c r="I88" s="27"/>
      <c r="J88" s="26"/>
      <c r="K88" s="28"/>
      <c r="L88" s="26"/>
      <c r="M88" s="27"/>
      <c r="N88" s="26">
        <f>SUM(F88:L88)</f>
        <v>1691.5</v>
      </c>
      <c r="O88" s="27"/>
      <c r="P88" s="26">
        <f>'[1]People Forecast '!G70</f>
        <v>271</v>
      </c>
      <c r="Q88" s="28"/>
      <c r="R88" s="26"/>
      <c r="S88" s="28"/>
      <c r="T88" s="26"/>
      <c r="U88" s="27"/>
      <c r="V88" s="26">
        <f>SUM(N88:T88)</f>
        <v>1962.5</v>
      </c>
      <c r="W88" s="27"/>
      <c r="X88" s="26">
        <f>'[1]People Forecast '!H70</f>
        <v>-114</v>
      </c>
      <c r="Y88" s="28"/>
      <c r="Z88" s="26"/>
      <c r="AA88" s="28"/>
      <c r="AB88" s="26"/>
      <c r="AC88" s="27"/>
      <c r="AD88" s="26">
        <f>SUM(V88:AB88)</f>
        <v>1848.5</v>
      </c>
      <c r="AE88" s="27"/>
      <c r="AF88" s="26"/>
      <c r="AG88" s="28"/>
      <c r="AH88" s="26"/>
      <c r="AI88" s="27"/>
      <c r="AJ88" s="26"/>
    </row>
    <row r="89" spans="2:36" ht="18">
      <c r="B89" s="26"/>
      <c r="C89" s="27"/>
      <c r="D89" s="26"/>
      <c r="E89" s="27"/>
      <c r="F89" s="26"/>
      <c r="G89" s="27"/>
      <c r="H89" s="26"/>
      <c r="I89" s="27"/>
      <c r="J89" s="26"/>
      <c r="K89" s="28"/>
      <c r="L89" s="26"/>
      <c r="M89" s="27"/>
      <c r="N89" s="26"/>
      <c r="O89" s="27"/>
      <c r="P89" s="26"/>
      <c r="Q89" s="28"/>
      <c r="R89" s="26"/>
      <c r="S89" s="28"/>
      <c r="T89" s="26"/>
      <c r="U89" s="27"/>
      <c r="V89" s="26"/>
      <c r="W89" s="27"/>
      <c r="X89" s="26"/>
      <c r="Y89" s="28"/>
      <c r="Z89" s="26"/>
      <c r="AA89" s="28"/>
      <c r="AB89" s="26"/>
      <c r="AC89" s="27"/>
      <c r="AD89" s="26"/>
      <c r="AE89" s="27"/>
      <c r="AF89" s="26"/>
      <c r="AG89" s="28"/>
      <c r="AH89" s="26"/>
      <c r="AI89" s="27"/>
      <c r="AJ89" s="26"/>
    </row>
    <row r="90" spans="1:36" ht="18">
      <c r="A90" s="5" t="s">
        <v>3</v>
      </c>
      <c r="B90" s="26"/>
      <c r="C90" s="27"/>
      <c r="D90" s="26"/>
      <c r="E90" s="27"/>
      <c r="F90" s="26"/>
      <c r="G90" s="27"/>
      <c r="H90" s="26">
        <f>'[1]People Forecast '!F72</f>
        <v>573.6</v>
      </c>
      <c r="I90" s="27"/>
      <c r="J90" s="26"/>
      <c r="K90" s="28"/>
      <c r="L90" s="26"/>
      <c r="M90" s="27"/>
      <c r="N90" s="26">
        <f>SUM(F90:L90)</f>
        <v>573.6</v>
      </c>
      <c r="O90" s="27"/>
      <c r="P90" s="26">
        <f>'[1]People Forecast '!G72</f>
        <v>0</v>
      </c>
      <c r="Q90" s="28"/>
      <c r="R90" s="26"/>
      <c r="S90" s="28"/>
      <c r="T90" s="26"/>
      <c r="U90" s="27"/>
      <c r="V90" s="26">
        <f>SUM(N90:T90)</f>
        <v>573.6</v>
      </c>
      <c r="W90" s="27"/>
      <c r="X90" s="26">
        <f>'[1]People Forecast '!H72</f>
        <v>0</v>
      </c>
      <c r="Y90" s="28"/>
      <c r="Z90" s="26"/>
      <c r="AA90" s="28"/>
      <c r="AB90" s="26"/>
      <c r="AC90" s="27"/>
      <c r="AD90" s="26">
        <f>SUM(V90:AB90)</f>
        <v>573.6</v>
      </c>
      <c r="AE90" s="27"/>
      <c r="AF90" s="26"/>
      <c r="AG90" s="28"/>
      <c r="AH90" s="26"/>
      <c r="AI90" s="27"/>
      <c r="AJ90" s="26"/>
    </row>
    <row r="91" spans="2:36" ht="18">
      <c r="B91" s="26"/>
      <c r="C91" s="27"/>
      <c r="D91" s="26"/>
      <c r="E91" s="27"/>
      <c r="F91" s="26"/>
      <c r="G91" s="27"/>
      <c r="H91" s="26"/>
      <c r="I91" s="27"/>
      <c r="J91" s="26"/>
      <c r="K91" s="28"/>
      <c r="L91" s="26"/>
      <c r="M91" s="27"/>
      <c r="N91" s="26"/>
      <c r="O91" s="27"/>
      <c r="P91" s="26"/>
      <c r="Q91" s="28"/>
      <c r="R91" s="26"/>
      <c r="S91" s="28"/>
      <c r="T91" s="26"/>
      <c r="U91" s="27"/>
      <c r="V91" s="26"/>
      <c r="W91" s="27"/>
      <c r="X91" s="26"/>
      <c r="Y91" s="28"/>
      <c r="Z91" s="26"/>
      <c r="AA91" s="28"/>
      <c r="AB91" s="26"/>
      <c r="AC91" s="27"/>
      <c r="AD91" s="26"/>
      <c r="AE91" s="27"/>
      <c r="AF91" s="26"/>
      <c r="AG91" s="28"/>
      <c r="AH91" s="26"/>
      <c r="AI91" s="27"/>
      <c r="AJ91" s="26"/>
    </row>
    <row r="92" spans="1:36" ht="18">
      <c r="A92" s="5" t="s">
        <v>81</v>
      </c>
      <c r="B92" s="26"/>
      <c r="C92" s="27"/>
      <c r="D92" s="26"/>
      <c r="E92" s="27"/>
      <c r="F92" s="26"/>
      <c r="G92" s="27"/>
      <c r="H92" s="26"/>
      <c r="I92" s="27"/>
      <c r="J92" s="26"/>
      <c r="K92" s="28"/>
      <c r="L92" s="26"/>
      <c r="M92" s="27"/>
      <c r="N92" s="26"/>
      <c r="O92" s="27"/>
      <c r="P92" s="26"/>
      <c r="Q92" s="28"/>
      <c r="R92" s="26"/>
      <c r="S92" s="28"/>
      <c r="T92" s="26"/>
      <c r="U92" s="27"/>
      <c r="V92" s="26"/>
      <c r="W92" s="27"/>
      <c r="X92" s="26"/>
      <c r="Y92" s="28"/>
      <c r="Z92" s="26"/>
      <c r="AA92" s="28"/>
      <c r="AB92" s="26"/>
      <c r="AC92" s="27"/>
      <c r="AD92" s="26"/>
      <c r="AE92" s="27"/>
      <c r="AF92" s="26"/>
      <c r="AG92" s="28"/>
      <c r="AH92" s="26"/>
      <c r="AI92" s="27"/>
      <c r="AJ92" s="26"/>
    </row>
    <row r="93" spans="1:36" ht="18">
      <c r="A93" s="5" t="s">
        <v>82</v>
      </c>
      <c r="B93" s="26"/>
      <c r="C93" s="27"/>
      <c r="D93" s="26">
        <v>4000</v>
      </c>
      <c r="E93" s="59"/>
      <c r="F93" s="26">
        <f>B93+D93</f>
        <v>4000</v>
      </c>
      <c r="G93" s="1"/>
      <c r="H93" s="26">
        <v>-4000</v>
      </c>
      <c r="I93" s="1"/>
      <c r="J93" s="26">
        <v>5000</v>
      </c>
      <c r="K93" s="1"/>
      <c r="L93" s="26"/>
      <c r="M93" s="27"/>
      <c r="N93" s="26">
        <f>SUM(F93:L93)</f>
        <v>5000</v>
      </c>
      <c r="O93" s="27"/>
      <c r="P93" s="26">
        <v>-5000</v>
      </c>
      <c r="Q93" s="28"/>
      <c r="R93" s="26"/>
      <c r="S93" s="28"/>
      <c r="T93" s="26"/>
      <c r="U93" s="27"/>
      <c r="V93" s="26">
        <f>SUM(N93:T93)</f>
        <v>0</v>
      </c>
      <c r="W93" s="27"/>
      <c r="X93" s="26"/>
      <c r="Y93" s="28"/>
      <c r="Z93" s="26"/>
      <c r="AA93" s="28"/>
      <c r="AB93" s="26"/>
      <c r="AC93" s="27"/>
      <c r="AD93" s="26">
        <f>SUM(V93:AB93)</f>
        <v>0</v>
      </c>
      <c r="AE93" s="27"/>
      <c r="AF93" s="26"/>
      <c r="AG93" s="28"/>
      <c r="AH93" s="26"/>
      <c r="AI93" s="27"/>
      <c r="AJ93" s="26"/>
    </row>
    <row r="94" spans="1:36" ht="18">
      <c r="A94" s="5" t="s">
        <v>83</v>
      </c>
      <c r="B94" s="26"/>
      <c r="C94" s="27"/>
      <c r="D94" s="26">
        <v>2400</v>
      </c>
      <c r="E94" s="27"/>
      <c r="F94" s="26">
        <f>B94+D94</f>
        <v>2400</v>
      </c>
      <c r="G94" s="27"/>
      <c r="H94" s="26">
        <v>-2400</v>
      </c>
      <c r="I94" s="27"/>
      <c r="J94" s="26"/>
      <c r="K94" s="28"/>
      <c r="L94" s="26"/>
      <c r="M94" s="27"/>
      <c r="N94" s="26">
        <f>SUM(F94:L94)</f>
        <v>0</v>
      </c>
      <c r="O94" s="27"/>
      <c r="P94" s="26"/>
      <c r="Q94" s="28"/>
      <c r="R94" s="26"/>
      <c r="S94" s="28"/>
      <c r="T94" s="26"/>
      <c r="U94" s="27"/>
      <c r="V94" s="26">
        <f>SUM(N94:T94)</f>
        <v>0</v>
      </c>
      <c r="W94" s="27"/>
      <c r="X94" s="26"/>
      <c r="Y94" s="28"/>
      <c r="Z94" s="26"/>
      <c r="AA94" s="28"/>
      <c r="AB94" s="26"/>
      <c r="AC94" s="27"/>
      <c r="AD94" s="26">
        <f>SUM(V94:AB94)</f>
        <v>0</v>
      </c>
      <c r="AE94" s="27"/>
      <c r="AF94" s="26"/>
      <c r="AG94" s="28"/>
      <c r="AH94" s="26"/>
      <c r="AI94" s="27"/>
      <c r="AJ94" s="26">
        <f>SUM(AD94:AH94)</f>
        <v>0</v>
      </c>
    </row>
    <row r="95" spans="1:36" ht="18">
      <c r="A95" s="5" t="s">
        <v>84</v>
      </c>
      <c r="B95" s="26"/>
      <c r="C95" s="27"/>
      <c r="D95" s="26">
        <v>3924</v>
      </c>
      <c r="E95" s="27"/>
      <c r="F95" s="26">
        <f>B95+D95</f>
        <v>3924</v>
      </c>
      <c r="G95" s="27"/>
      <c r="H95" s="26">
        <v>-3924</v>
      </c>
      <c r="I95" s="27"/>
      <c r="J95" s="26"/>
      <c r="K95" s="28"/>
      <c r="L95" s="26"/>
      <c r="M95" s="27"/>
      <c r="N95" s="26">
        <f>SUM(F95:L95)</f>
        <v>0</v>
      </c>
      <c r="O95" s="27"/>
      <c r="P95" s="26"/>
      <c r="Q95" s="28"/>
      <c r="R95" s="26"/>
      <c r="S95" s="28"/>
      <c r="T95" s="26"/>
      <c r="U95" s="27"/>
      <c r="V95" s="26">
        <f>SUM(N95:T95)</f>
        <v>0</v>
      </c>
      <c r="W95" s="27"/>
      <c r="X95" s="26"/>
      <c r="Y95" s="28"/>
      <c r="Z95" s="26"/>
      <c r="AA95" s="28"/>
      <c r="AB95" s="26"/>
      <c r="AC95" s="27"/>
      <c r="AD95" s="26">
        <f>SUM(V95:AB95)</f>
        <v>0</v>
      </c>
      <c r="AE95" s="27"/>
      <c r="AF95" s="26"/>
      <c r="AG95" s="28"/>
      <c r="AH95" s="26"/>
      <c r="AI95" s="27"/>
      <c r="AJ95" s="26"/>
    </row>
    <row r="96" spans="1:36" ht="18">
      <c r="A96" s="5" t="s">
        <v>85</v>
      </c>
      <c r="B96" s="26"/>
      <c r="C96" s="27"/>
      <c r="D96" s="26"/>
      <c r="E96" s="27"/>
      <c r="F96" s="26"/>
      <c r="G96" s="27"/>
      <c r="H96" s="26"/>
      <c r="I96" s="27"/>
      <c r="J96" s="26">
        <v>3721</v>
      </c>
      <c r="K96" s="28"/>
      <c r="L96" s="26"/>
      <c r="M96" s="27"/>
      <c r="N96" s="26">
        <f>SUM(F96:L96)</f>
        <v>3721</v>
      </c>
      <c r="O96" s="27"/>
      <c r="P96" s="26">
        <v>-3721</v>
      </c>
      <c r="Q96" s="28"/>
      <c r="R96" s="26"/>
      <c r="S96" s="28"/>
      <c r="T96" s="26"/>
      <c r="U96" s="27"/>
      <c r="V96" s="26">
        <f>SUM(N96:T96)</f>
        <v>0</v>
      </c>
      <c r="W96" s="27"/>
      <c r="X96" s="26"/>
      <c r="Y96" s="28"/>
      <c r="Z96" s="26"/>
      <c r="AA96" s="28"/>
      <c r="AB96" s="26"/>
      <c r="AC96" s="27"/>
      <c r="AD96" s="26"/>
      <c r="AE96" s="27"/>
      <c r="AF96" s="26"/>
      <c r="AG96" s="28"/>
      <c r="AH96" s="26"/>
      <c r="AI96" s="27"/>
      <c r="AJ96" s="26"/>
    </row>
    <row r="97" spans="1:36" ht="18">
      <c r="A97" s="5" t="s">
        <v>4</v>
      </c>
      <c r="B97" s="26"/>
      <c r="C97" s="27"/>
      <c r="D97" s="26">
        <f>SUM(D93:D95)</f>
        <v>10324</v>
      </c>
      <c r="E97" s="27"/>
      <c r="F97" s="26">
        <f>B97+D97</f>
        <v>10324</v>
      </c>
      <c r="G97" s="27"/>
      <c r="H97" s="26">
        <f>SUM(H93:H95)</f>
        <v>-10324</v>
      </c>
      <c r="I97" s="27"/>
      <c r="J97" s="26">
        <f>SUM(J93:J96)</f>
        <v>8721</v>
      </c>
      <c r="K97" s="28"/>
      <c r="L97" s="26"/>
      <c r="M97" s="27"/>
      <c r="N97" s="26">
        <f>SUM(F97:L97)</f>
        <v>8721</v>
      </c>
      <c r="O97" s="27"/>
      <c r="P97" s="26">
        <f>SUM(P93:P96)</f>
        <v>-8721</v>
      </c>
      <c r="Q97" s="28"/>
      <c r="R97" s="26"/>
      <c r="S97" s="28"/>
      <c r="T97" s="26"/>
      <c r="U97" s="27"/>
      <c r="V97" s="26">
        <f>SUM(N97:T97)</f>
        <v>0</v>
      </c>
      <c r="W97" s="27"/>
      <c r="X97" s="26">
        <v>0</v>
      </c>
      <c r="Y97" s="28"/>
      <c r="Z97" s="26">
        <v>0</v>
      </c>
      <c r="AA97" s="28"/>
      <c r="AB97" s="26"/>
      <c r="AC97" s="27"/>
      <c r="AD97" s="26">
        <f>SUM(V97:AB97)</f>
        <v>0</v>
      </c>
      <c r="AE97" s="27"/>
      <c r="AF97" s="26"/>
      <c r="AG97" s="28"/>
      <c r="AH97" s="26"/>
      <c r="AI97" s="27"/>
      <c r="AJ97" s="26"/>
    </row>
    <row r="98" spans="2:36" ht="18">
      <c r="B98" s="26"/>
      <c r="C98" s="27"/>
      <c r="D98" s="26"/>
      <c r="E98" s="27"/>
      <c r="F98" s="26"/>
      <c r="G98" s="27"/>
      <c r="H98" s="26"/>
      <c r="I98" s="27"/>
      <c r="J98" s="26"/>
      <c r="K98" s="28"/>
      <c r="L98" s="26"/>
      <c r="M98" s="27"/>
      <c r="N98" s="26"/>
      <c r="O98" s="27"/>
      <c r="P98" s="26"/>
      <c r="Q98" s="28"/>
      <c r="R98" s="26"/>
      <c r="S98" s="28"/>
      <c r="T98" s="26"/>
      <c r="U98" s="27"/>
      <c r="V98" s="26"/>
      <c r="W98" s="27"/>
      <c r="X98" s="26"/>
      <c r="Y98" s="28"/>
      <c r="Z98" s="26"/>
      <c r="AA98" s="28"/>
      <c r="AB98" s="26"/>
      <c r="AC98" s="27"/>
      <c r="AD98" s="26"/>
      <c r="AE98" s="27"/>
      <c r="AF98" s="26"/>
      <c r="AG98" s="28"/>
      <c r="AH98" s="26"/>
      <c r="AI98" s="27"/>
      <c r="AJ98" s="26"/>
    </row>
    <row r="99" spans="2:36" ht="18.75" thickBot="1">
      <c r="B99" s="26"/>
      <c r="C99" s="27"/>
      <c r="D99" s="34"/>
      <c r="E99" s="27"/>
      <c r="F99" s="34"/>
      <c r="G99" s="27"/>
      <c r="H99" s="34"/>
      <c r="I99" s="27"/>
      <c r="J99" s="34"/>
      <c r="K99" s="28"/>
      <c r="L99" s="34"/>
      <c r="M99" s="27"/>
      <c r="N99" s="26"/>
      <c r="O99" s="27"/>
      <c r="P99" s="26"/>
      <c r="Q99" s="28"/>
      <c r="R99" s="26"/>
      <c r="S99" s="28"/>
      <c r="T99" s="26"/>
      <c r="U99" s="27"/>
      <c r="V99" s="26"/>
      <c r="W99" s="27"/>
      <c r="X99" s="26"/>
      <c r="Y99" s="28"/>
      <c r="Z99" s="26"/>
      <c r="AA99" s="28"/>
      <c r="AB99" s="26"/>
      <c r="AC99" s="27"/>
      <c r="AD99" s="26"/>
      <c r="AE99" s="27"/>
      <c r="AF99" s="26"/>
      <c r="AG99" s="28"/>
      <c r="AH99" s="26"/>
      <c r="AI99" s="27"/>
      <c r="AJ99" s="26"/>
    </row>
    <row r="100" spans="1:36" ht="27.75" customHeight="1" thickBot="1">
      <c r="A100" s="5" t="s">
        <v>86</v>
      </c>
      <c r="B100" s="60">
        <f>SUM(B78:B99)</f>
        <v>417710.3434602978</v>
      </c>
      <c r="C100" s="60"/>
      <c r="D100" s="36">
        <f>SUM(D78:D86)+D97</f>
        <v>-6900.624519230769</v>
      </c>
      <c r="E100" s="60"/>
      <c r="F100" s="36">
        <f>SUM(F78:F86)+F97</f>
        <v>410809.718941067</v>
      </c>
      <c r="G100" s="36"/>
      <c r="H100" s="36">
        <f>SUM(H78:H86)+H97+H88</f>
        <v>20278.736009174314</v>
      </c>
      <c r="I100" s="36"/>
      <c r="J100" s="36">
        <f>SUM(J78:J86)+J97+J88+J90</f>
        <v>-17884.066666666666</v>
      </c>
      <c r="K100" s="36"/>
      <c r="L100" s="36">
        <f>SUM(L78:L86)+L97+L88+L90</f>
        <v>5483.860024681988</v>
      </c>
      <c r="M100" s="60"/>
      <c r="N100" s="60">
        <f>SUM(N78:N86)+N97+N88+N90</f>
        <v>419261.84830825665</v>
      </c>
      <c r="O100" s="60"/>
      <c r="P100" s="60">
        <f>SUM(P78:P86)+P97+P88+P90</f>
        <v>1131.396333333334</v>
      </c>
      <c r="Q100" s="60"/>
      <c r="R100" s="60">
        <f>SUM(R78:R86)+R97+R88+R90</f>
        <v>-18577.125</v>
      </c>
      <c r="S100" s="60"/>
      <c r="T100" s="60">
        <f>SUM(T78:T86)+T97+T88+T90</f>
        <v>6482.399752347535</v>
      </c>
      <c r="U100" s="60"/>
      <c r="V100" s="60">
        <f>SUM(V78:V86)+V97+V88+V90</f>
        <v>408298.5193939375</v>
      </c>
      <c r="W100" s="60"/>
      <c r="X100" s="60">
        <f>SUM(X78:X86)+X97+X88+X90</f>
        <v>16646.21014166667</v>
      </c>
      <c r="Y100" s="60"/>
      <c r="Z100" s="60">
        <f>SUM(Z78:Z86)+Z97+Z88+Z90</f>
        <v>-18900.45833333332</v>
      </c>
      <c r="AA100" s="60"/>
      <c r="AB100" s="60">
        <f>SUM(AB78:AB86)+AB97+AB88+AB90</f>
        <v>8847.188032161634</v>
      </c>
      <c r="AC100" s="60"/>
      <c r="AD100" s="60">
        <f>SUM(AD78:AD86)+AD97+AD88+AD90</f>
        <v>414891.4592344325</v>
      </c>
      <c r="AE100" s="27"/>
      <c r="AF100" s="60">
        <f>SUM(AF78:AF99)</f>
        <v>4700</v>
      </c>
      <c r="AG100" s="60"/>
      <c r="AH100" s="60">
        <f>SUM(AH78:AH99)</f>
        <v>10293.173637344826</v>
      </c>
      <c r="AI100" s="60"/>
      <c r="AJ100" s="60">
        <f>SUM(AJ78:AJ99)</f>
        <v>427462.53287177737</v>
      </c>
    </row>
    <row r="101" spans="1:36" ht="18.75" thickTop="1">
      <c r="A101" s="5" t="s">
        <v>87</v>
      </c>
      <c r="B101" s="26"/>
      <c r="C101" s="27"/>
      <c r="D101" s="26"/>
      <c r="E101" s="27"/>
      <c r="F101" s="26"/>
      <c r="G101" s="27"/>
      <c r="H101" s="26"/>
      <c r="I101" s="27"/>
      <c r="J101" s="26"/>
      <c r="K101" s="27"/>
      <c r="L101" s="26"/>
      <c r="M101" s="27"/>
      <c r="N101" s="26"/>
      <c r="O101" s="27"/>
      <c r="P101" s="26"/>
      <c r="Q101" s="27"/>
      <c r="R101" s="26"/>
      <c r="S101" s="27"/>
      <c r="T101" s="26"/>
      <c r="U101" s="27"/>
      <c r="V101" s="26"/>
      <c r="W101" s="27"/>
      <c r="X101" s="26"/>
      <c r="Y101" s="27"/>
      <c r="Z101" s="26"/>
      <c r="AA101" s="27"/>
      <c r="AB101" s="26"/>
      <c r="AC101" s="27"/>
      <c r="AD101" s="26"/>
      <c r="AE101" s="27"/>
      <c r="AF101" s="26"/>
      <c r="AG101" s="27"/>
      <c r="AH101" s="26"/>
      <c r="AI101" s="27"/>
      <c r="AJ101" s="26"/>
    </row>
    <row r="102" spans="1:36" ht="18">
      <c r="A102" s="5" t="s">
        <v>88</v>
      </c>
      <c r="B102" s="26">
        <v>6900</v>
      </c>
      <c r="C102" s="27"/>
      <c r="D102" s="26">
        <v>-6900</v>
      </c>
      <c r="E102" s="27"/>
      <c r="F102" s="26">
        <f>B102+D102</f>
        <v>0</v>
      </c>
      <c r="G102" s="27"/>
      <c r="H102" s="26">
        <v>0</v>
      </c>
      <c r="I102" s="27"/>
      <c r="J102" s="26"/>
      <c r="K102" s="28"/>
      <c r="L102" s="26">
        <v>0</v>
      </c>
      <c r="M102" s="27"/>
      <c r="N102" s="26">
        <f>SUM(F102:L102)</f>
        <v>0</v>
      </c>
      <c r="O102" s="27"/>
      <c r="P102" s="26">
        <v>0</v>
      </c>
      <c r="Q102" s="28"/>
      <c r="R102" s="26"/>
      <c r="S102" s="28"/>
      <c r="T102" s="26">
        <v>0</v>
      </c>
      <c r="U102" s="27"/>
      <c r="V102" s="26">
        <f aca="true" t="shared" si="14" ref="V102:V107">SUM(N102:T102)</f>
        <v>0</v>
      </c>
      <c r="W102" s="27"/>
      <c r="X102" s="26">
        <v>6849</v>
      </c>
      <c r="Y102" s="28"/>
      <c r="Z102" s="26"/>
      <c r="AA102" s="28"/>
      <c r="AB102" s="26">
        <v>0</v>
      </c>
      <c r="AC102" s="27"/>
      <c r="AD102" s="26">
        <f aca="true" t="shared" si="15" ref="AD102:AD107">SUM(V102:AB102)</f>
        <v>6849</v>
      </c>
      <c r="AE102" s="27"/>
      <c r="AF102" s="26">
        <v>-7600</v>
      </c>
      <c r="AG102" s="28"/>
      <c r="AH102" s="26">
        <v>0</v>
      </c>
      <c r="AI102" s="27"/>
      <c r="AJ102" s="26">
        <f>SUM(AD102:AH102)</f>
        <v>-751</v>
      </c>
    </row>
    <row r="103" spans="1:36" ht="18">
      <c r="A103" s="5" t="s">
        <v>89</v>
      </c>
      <c r="B103" s="26"/>
      <c r="C103" s="27"/>
      <c r="D103" s="26"/>
      <c r="E103" s="27"/>
      <c r="F103" s="26"/>
      <c r="G103" s="27"/>
      <c r="H103" s="26">
        <v>574</v>
      </c>
      <c r="I103" s="27"/>
      <c r="J103" s="26"/>
      <c r="K103" s="28"/>
      <c r="L103" s="26"/>
      <c r="M103" s="27"/>
      <c r="N103" s="26">
        <f>SUM(F103:L103)</f>
        <v>574</v>
      </c>
      <c r="O103" s="27"/>
      <c r="P103" s="26"/>
      <c r="Q103" s="28"/>
      <c r="R103" s="26"/>
      <c r="S103" s="28"/>
      <c r="T103" s="26"/>
      <c r="U103" s="27"/>
      <c r="V103" s="26">
        <f t="shared" si="14"/>
        <v>574</v>
      </c>
      <c r="W103" s="27"/>
      <c r="X103" s="26"/>
      <c r="Y103" s="28"/>
      <c r="Z103" s="26"/>
      <c r="AA103" s="28"/>
      <c r="AB103" s="26"/>
      <c r="AC103" s="27"/>
      <c r="AD103" s="26">
        <f t="shared" si="15"/>
        <v>574</v>
      </c>
      <c r="AE103" s="27"/>
      <c r="AF103" s="26"/>
      <c r="AG103" s="28"/>
      <c r="AH103" s="26"/>
      <c r="AI103" s="27"/>
      <c r="AJ103" s="26"/>
    </row>
    <row r="104" spans="1:38" ht="18">
      <c r="A104" s="5" t="s">
        <v>90</v>
      </c>
      <c r="B104" s="26">
        <v>331741</v>
      </c>
      <c r="C104" s="27"/>
      <c r="D104" s="26"/>
      <c r="E104" s="27"/>
      <c r="F104" s="26">
        <f>B104+D104</f>
        <v>331741</v>
      </c>
      <c r="G104" s="27"/>
      <c r="H104" s="26">
        <f>'[1]Funding'!$G$16-'[1]Funding'!$F$16</f>
        <v>3808.412000000011</v>
      </c>
      <c r="I104" s="27"/>
      <c r="J104" s="26"/>
      <c r="K104" s="28"/>
      <c r="L104" s="26"/>
      <c r="M104" s="27"/>
      <c r="N104" s="26">
        <f>SUM(F104:L104)</f>
        <v>335549.412</v>
      </c>
      <c r="O104" s="27"/>
      <c r="P104" s="26">
        <f>'[1]Funding'!$H$16-'[1]Funding'!$G$16</f>
        <v>-14088.80800000002</v>
      </c>
      <c r="Q104" s="28"/>
      <c r="R104" s="26"/>
      <c r="S104" s="28"/>
      <c r="T104" s="26"/>
      <c r="U104" s="27"/>
      <c r="V104" s="26">
        <f t="shared" si="14"/>
        <v>321460.604</v>
      </c>
      <c r="W104" s="27"/>
      <c r="X104" s="26">
        <f>'[1]Funding'!I16-'[1]Funding'!H16</f>
        <v>-6102.9038399999845</v>
      </c>
      <c r="Y104" s="28"/>
      <c r="Z104" s="26"/>
      <c r="AA104" s="28"/>
      <c r="AB104" s="26"/>
      <c r="AC104" s="27"/>
      <c r="AD104" s="26">
        <f t="shared" si="15"/>
        <v>315357.70016</v>
      </c>
      <c r="AE104" s="27"/>
      <c r="AF104" s="26">
        <f>'[1]Funding'!I16-'[1]Funding'!H16</f>
        <v>-6102.9038399999845</v>
      </c>
      <c r="AG104" s="28"/>
      <c r="AH104" s="26"/>
      <c r="AI104" s="27"/>
      <c r="AJ104" s="26">
        <f>SUM(AD104:AH104)</f>
        <v>309254.79632</v>
      </c>
      <c r="AL104" s="29"/>
    </row>
    <row r="105" spans="1:38" ht="18">
      <c r="A105" s="5" t="s">
        <v>91</v>
      </c>
      <c r="B105" s="26"/>
      <c r="C105" s="27"/>
      <c r="D105" s="26"/>
      <c r="E105" s="27"/>
      <c r="F105" s="26"/>
      <c r="G105" s="27"/>
      <c r="H105" s="26">
        <v>0</v>
      </c>
      <c r="I105" s="27"/>
      <c r="J105" s="26"/>
      <c r="K105" s="28"/>
      <c r="L105" s="26"/>
      <c r="M105" s="27"/>
      <c r="N105" s="26">
        <f>SUM(F105:L105)</f>
        <v>0</v>
      </c>
      <c r="O105" s="27"/>
      <c r="P105" s="26"/>
      <c r="Q105" s="28"/>
      <c r="R105" s="26"/>
      <c r="S105" s="28"/>
      <c r="T105" s="26"/>
      <c r="U105" s="27"/>
      <c r="V105" s="26">
        <f t="shared" si="14"/>
        <v>0</v>
      </c>
      <c r="W105" s="27"/>
      <c r="X105" s="26"/>
      <c r="Y105" s="28"/>
      <c r="Z105" s="26"/>
      <c r="AA105" s="28"/>
      <c r="AB105" s="26"/>
      <c r="AC105" s="27"/>
      <c r="AD105" s="26">
        <f t="shared" si="15"/>
        <v>0</v>
      </c>
      <c r="AE105" s="27"/>
      <c r="AF105" s="26"/>
      <c r="AG105" s="28"/>
      <c r="AH105" s="26"/>
      <c r="AI105" s="27"/>
      <c r="AJ105" s="26"/>
      <c r="AL105" s="29"/>
    </row>
    <row r="106" spans="1:36" ht="15.75" customHeight="1">
      <c r="A106" s="5" t="s">
        <v>92</v>
      </c>
      <c r="B106" s="26">
        <v>-509</v>
      </c>
      <c r="C106" s="27"/>
      <c r="D106" s="26"/>
      <c r="E106" s="27"/>
      <c r="F106" s="26">
        <f>B106+D106</f>
        <v>-509</v>
      </c>
      <c r="G106" s="27"/>
      <c r="H106" s="26">
        <v>1248</v>
      </c>
      <c r="I106" s="27"/>
      <c r="J106" s="26"/>
      <c r="K106" s="28"/>
      <c r="L106" s="26"/>
      <c r="M106" s="27"/>
      <c r="N106" s="26">
        <f>SUM(F106:L106)</f>
        <v>739</v>
      </c>
      <c r="O106" s="27"/>
      <c r="P106" s="26">
        <v>-739</v>
      </c>
      <c r="Q106" s="28"/>
      <c r="R106" s="26"/>
      <c r="S106" s="28"/>
      <c r="T106" s="26"/>
      <c r="U106" s="27"/>
      <c r="V106" s="26">
        <f t="shared" si="14"/>
        <v>0</v>
      </c>
      <c r="W106" s="27"/>
      <c r="X106" s="26"/>
      <c r="Y106" s="28"/>
      <c r="Z106" s="26"/>
      <c r="AA106" s="28"/>
      <c r="AB106" s="26"/>
      <c r="AC106" s="27"/>
      <c r="AD106" s="26">
        <f t="shared" si="15"/>
        <v>0</v>
      </c>
      <c r="AE106" s="27"/>
      <c r="AF106" s="26"/>
      <c r="AG106" s="28"/>
      <c r="AH106" s="26"/>
      <c r="AI106" s="27"/>
      <c r="AJ106" s="26">
        <f>SUM(AD106:AH106)</f>
        <v>0</v>
      </c>
    </row>
    <row r="107" spans="1:36" ht="26.25" customHeight="1" hidden="1">
      <c r="A107" s="5" t="s">
        <v>93</v>
      </c>
      <c r="B107" s="26">
        <v>0</v>
      </c>
      <c r="C107" s="27"/>
      <c r="D107" s="26"/>
      <c r="E107" s="27"/>
      <c r="F107" s="26">
        <f>B107+D107</f>
        <v>0</v>
      </c>
      <c r="G107" s="27"/>
      <c r="H107" s="26">
        <v>0</v>
      </c>
      <c r="I107" s="27"/>
      <c r="J107" s="26"/>
      <c r="K107" s="28"/>
      <c r="L107" s="26"/>
      <c r="M107" s="27"/>
      <c r="N107" s="26">
        <f>SUM(B107:L107)</f>
        <v>0</v>
      </c>
      <c r="O107" s="27"/>
      <c r="P107" s="26"/>
      <c r="Q107" s="28"/>
      <c r="R107" s="26"/>
      <c r="S107" s="28"/>
      <c r="T107" s="26"/>
      <c r="U107" s="27"/>
      <c r="V107" s="26">
        <f t="shared" si="14"/>
        <v>0</v>
      </c>
      <c r="W107" s="27"/>
      <c r="X107" s="26"/>
      <c r="Y107" s="28"/>
      <c r="Z107" s="26"/>
      <c r="AA107" s="28"/>
      <c r="AB107" s="26"/>
      <c r="AC107" s="27"/>
      <c r="AD107" s="26">
        <f t="shared" si="15"/>
        <v>0</v>
      </c>
      <c r="AE107" s="27"/>
      <c r="AF107" s="26"/>
      <c r="AG107" s="28"/>
      <c r="AH107" s="26"/>
      <c r="AI107" s="27"/>
      <c r="AJ107" s="26">
        <f>SUM(AD107:AH107)</f>
        <v>0</v>
      </c>
    </row>
    <row r="108" spans="2:36" ht="7.5" customHeight="1">
      <c r="B108" s="26"/>
      <c r="C108" s="27"/>
      <c r="D108" s="26"/>
      <c r="E108" s="27"/>
      <c r="F108" s="26"/>
      <c r="G108" s="27"/>
      <c r="H108" s="26"/>
      <c r="I108" s="27"/>
      <c r="J108" s="26"/>
      <c r="K108" s="28"/>
      <c r="L108" s="26"/>
      <c r="M108" s="27"/>
      <c r="N108" s="26"/>
      <c r="O108" s="27"/>
      <c r="P108" s="26"/>
      <c r="Q108" s="28"/>
      <c r="R108" s="26"/>
      <c r="S108" s="28"/>
      <c r="T108" s="26"/>
      <c r="U108" s="27"/>
      <c r="V108" s="26"/>
      <c r="W108" s="27"/>
      <c r="X108" s="26"/>
      <c r="Y108" s="28"/>
      <c r="Z108" s="26"/>
      <c r="AA108" s="28"/>
      <c r="AB108" s="26"/>
      <c r="AC108" s="27"/>
      <c r="AD108" s="26"/>
      <c r="AE108" s="27"/>
      <c r="AF108" s="26"/>
      <c r="AG108" s="28"/>
      <c r="AH108" s="26"/>
      <c r="AI108" s="27"/>
      <c r="AJ108" s="26"/>
    </row>
    <row r="109" spans="2:36" ht="11.25" customHeight="1" thickBot="1">
      <c r="B109" s="34"/>
      <c r="C109" s="27"/>
      <c r="D109" s="34"/>
      <c r="E109" s="27"/>
      <c r="F109" s="34"/>
      <c r="G109" s="27"/>
      <c r="H109" s="34"/>
      <c r="I109" s="27"/>
      <c r="J109" s="34"/>
      <c r="K109" s="28"/>
      <c r="L109" s="34"/>
      <c r="M109" s="27"/>
      <c r="N109" s="34"/>
      <c r="O109" s="27"/>
      <c r="P109" s="34"/>
      <c r="Q109" s="28"/>
      <c r="R109" s="34"/>
      <c r="S109" s="28"/>
      <c r="T109" s="34"/>
      <c r="U109" s="27"/>
      <c r="V109" s="34"/>
      <c r="W109" s="27"/>
      <c r="X109" s="34"/>
      <c r="Y109" s="28"/>
      <c r="Z109" s="34"/>
      <c r="AA109" s="28"/>
      <c r="AB109" s="34"/>
      <c r="AC109" s="27"/>
      <c r="AD109" s="34"/>
      <c r="AE109" s="27"/>
      <c r="AF109" s="34"/>
      <c r="AG109" s="28"/>
      <c r="AH109" s="34"/>
      <c r="AI109" s="27"/>
      <c r="AJ109" s="34"/>
    </row>
    <row r="110" spans="1:36" ht="27.75" customHeight="1" thickBot="1">
      <c r="A110" s="47" t="s">
        <v>94</v>
      </c>
      <c r="B110" s="36">
        <f>SUM(B102:B109)</f>
        <v>338132</v>
      </c>
      <c r="C110" s="36"/>
      <c r="D110" s="36">
        <f>SUM(D102:D109)</f>
        <v>-6900</v>
      </c>
      <c r="E110" s="36"/>
      <c r="F110" s="36">
        <f>SUM(F102:F109)</f>
        <v>331232</v>
      </c>
      <c r="G110" s="36"/>
      <c r="H110" s="36">
        <f>SUM(H102:H109)</f>
        <v>5630.412000000011</v>
      </c>
      <c r="I110" s="36"/>
      <c r="J110" s="36">
        <f>SUM(J102:J109)</f>
        <v>0</v>
      </c>
      <c r="K110" s="36"/>
      <c r="L110" s="36">
        <f>SUM(L102:L109)</f>
        <v>0</v>
      </c>
      <c r="M110" s="36"/>
      <c r="N110" s="36">
        <f>SUM(N102:N109)</f>
        <v>336862.412</v>
      </c>
      <c r="O110" s="36"/>
      <c r="P110" s="36">
        <f>SUM(P102:P109)</f>
        <v>-14827.80800000002</v>
      </c>
      <c r="Q110" s="36"/>
      <c r="R110" s="36">
        <f>SUM(R102:R109)</f>
        <v>0</v>
      </c>
      <c r="S110" s="36"/>
      <c r="T110" s="36">
        <f>SUM(T102:T109)</f>
        <v>0</v>
      </c>
      <c r="U110" s="36"/>
      <c r="V110" s="36">
        <f>SUM(V102:V109)</f>
        <v>322034.604</v>
      </c>
      <c r="W110" s="36"/>
      <c r="X110" s="36">
        <f>SUM(X102:X109)</f>
        <v>746.0961600000155</v>
      </c>
      <c r="Y110" s="36"/>
      <c r="Z110" s="36">
        <f>SUM(Z102:Z109)</f>
        <v>0</v>
      </c>
      <c r="AA110" s="36"/>
      <c r="AB110" s="36">
        <f>SUM(AB102:AB109)</f>
        <v>0</v>
      </c>
      <c r="AC110" s="36"/>
      <c r="AD110" s="36">
        <f>SUM(AD102:AD109)</f>
        <v>322780.70016</v>
      </c>
      <c r="AE110" s="27"/>
      <c r="AF110" s="36">
        <f>SUM(AF102:AF109)</f>
        <v>-13702.903839999984</v>
      </c>
      <c r="AG110" s="36"/>
      <c r="AH110" s="36">
        <f>SUM(AH102:AH109)</f>
        <v>0</v>
      </c>
      <c r="AI110" s="36"/>
      <c r="AJ110" s="36">
        <f>SUM(AJ102:AJ109)</f>
        <v>308503.79632</v>
      </c>
    </row>
    <row r="111" spans="2:36" ht="19.5" thickBot="1" thickTop="1">
      <c r="B111" s="61"/>
      <c r="C111" s="27"/>
      <c r="D111" s="61"/>
      <c r="E111" s="27"/>
      <c r="F111" s="61"/>
      <c r="G111" s="27"/>
      <c r="H111" s="34"/>
      <c r="I111" s="27"/>
      <c r="J111" s="61"/>
      <c r="K111" s="37"/>
      <c r="L111" s="34"/>
      <c r="M111" s="27"/>
      <c r="N111" s="61"/>
      <c r="O111" s="27"/>
      <c r="P111" s="34"/>
      <c r="Q111" s="37"/>
      <c r="R111" s="61"/>
      <c r="S111" s="37"/>
      <c r="T111" s="34"/>
      <c r="U111" s="27"/>
      <c r="V111" s="61"/>
      <c r="W111" s="27"/>
      <c r="X111" s="34"/>
      <c r="Y111" s="37"/>
      <c r="Z111" s="61"/>
      <c r="AA111" s="37"/>
      <c r="AB111" s="34"/>
      <c r="AC111" s="27"/>
      <c r="AD111" s="61"/>
      <c r="AE111" s="27"/>
      <c r="AF111" s="34"/>
      <c r="AG111" s="37"/>
      <c r="AH111" s="34"/>
      <c r="AI111" s="27"/>
      <c r="AJ111" s="61"/>
    </row>
    <row r="112" spans="2:36" ht="18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2:36" ht="6.75" customHeight="1" thickBot="1">
      <c r="B113" s="45" t="s">
        <v>0</v>
      </c>
      <c r="C113" s="37"/>
      <c r="D113" s="45"/>
      <c r="E113" s="37"/>
      <c r="F113" s="45"/>
      <c r="G113" s="37"/>
      <c r="H113" s="46"/>
      <c r="I113" s="27"/>
      <c r="J113" s="45"/>
      <c r="K113" s="37"/>
      <c r="L113" s="46"/>
      <c r="M113" s="27"/>
      <c r="N113" s="45"/>
      <c r="O113" s="37"/>
      <c r="P113" s="46"/>
      <c r="Q113" s="37"/>
      <c r="R113" s="45"/>
      <c r="S113" s="37"/>
      <c r="T113" s="46"/>
      <c r="U113" s="27"/>
      <c r="V113" s="45"/>
      <c r="W113" s="37"/>
      <c r="X113" s="46"/>
      <c r="Y113" s="37"/>
      <c r="Z113" s="45"/>
      <c r="AA113" s="37"/>
      <c r="AB113" s="46"/>
      <c r="AC113" s="27"/>
      <c r="AD113" s="45"/>
      <c r="AE113" s="27"/>
      <c r="AF113" s="46"/>
      <c r="AG113" s="37"/>
      <c r="AH113" s="46"/>
      <c r="AI113" s="27"/>
      <c r="AJ113" s="45"/>
    </row>
    <row r="114" spans="1:36" ht="28.5" customHeight="1" thickBot="1">
      <c r="A114" s="47" t="s">
        <v>95</v>
      </c>
      <c r="B114" s="36">
        <v>79578</v>
      </c>
      <c r="C114" s="27"/>
      <c r="D114" s="36"/>
      <c r="E114" s="27"/>
      <c r="F114" s="36">
        <f>B114+D114</f>
        <v>79578</v>
      </c>
      <c r="G114" s="27"/>
      <c r="H114" s="36">
        <f>'[1]MTFF '!D104</f>
        <v>2821</v>
      </c>
      <c r="I114" s="27"/>
      <c r="J114" s="36"/>
      <c r="K114" s="27"/>
      <c r="L114" s="36"/>
      <c r="M114" s="27"/>
      <c r="N114" s="36">
        <f>F114+H114</f>
        <v>82399</v>
      </c>
      <c r="O114" s="27"/>
      <c r="P114" s="36">
        <f>'[1]MTFF '!J104</f>
        <v>1648</v>
      </c>
      <c r="Q114" s="27"/>
      <c r="R114" s="36"/>
      <c r="S114" s="27"/>
      <c r="T114" s="36"/>
      <c r="U114" s="27"/>
      <c r="V114" s="36">
        <f>SUM(N114:T114)</f>
        <v>84047</v>
      </c>
      <c r="W114" s="27"/>
      <c r="X114" s="36">
        <f>'[1]MTFF '!P104</f>
        <v>1680</v>
      </c>
      <c r="Y114" s="27"/>
      <c r="Z114" s="36"/>
      <c r="AA114" s="27"/>
      <c r="AB114" s="36"/>
      <c r="AC114" s="27"/>
      <c r="AD114" s="36">
        <f>SUM(V114:AB114)</f>
        <v>85727</v>
      </c>
      <c r="AE114" s="27"/>
      <c r="AF114" s="36">
        <v>1656</v>
      </c>
      <c r="AG114" s="27"/>
      <c r="AH114" s="36"/>
      <c r="AI114" s="27"/>
      <c r="AJ114" s="36">
        <f>SUM(AD114:AH114)</f>
        <v>87383</v>
      </c>
    </row>
    <row r="115" spans="1:36" ht="19.5" thickBot="1" thickTop="1">
      <c r="A115" s="5">
        <f>6</f>
        <v>6</v>
      </c>
      <c r="B115" s="61"/>
      <c r="C115" s="27"/>
      <c r="D115" s="61"/>
      <c r="E115" s="27"/>
      <c r="F115" s="61"/>
      <c r="G115" s="27"/>
      <c r="H115" s="34"/>
      <c r="I115" s="27"/>
      <c r="J115" s="61"/>
      <c r="K115" s="37"/>
      <c r="L115" s="34"/>
      <c r="M115" s="27"/>
      <c r="N115" s="61"/>
      <c r="O115" s="27"/>
      <c r="P115" s="34"/>
      <c r="Q115" s="37"/>
      <c r="R115" s="61"/>
      <c r="S115" s="37"/>
      <c r="T115" s="34"/>
      <c r="U115" s="27"/>
      <c r="V115" s="61"/>
      <c r="W115" s="27"/>
      <c r="X115" s="34"/>
      <c r="Y115" s="37"/>
      <c r="Z115" s="61"/>
      <c r="AA115" s="37"/>
      <c r="AB115" s="34"/>
      <c r="AC115" s="27"/>
      <c r="AD115" s="61"/>
      <c r="AE115" s="27"/>
      <c r="AF115" s="34"/>
      <c r="AG115" s="37"/>
      <c r="AH115" s="34"/>
      <c r="AI115" s="27"/>
      <c r="AJ115" s="61"/>
    </row>
    <row r="116" spans="2:36" ht="18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2:36" ht="0.75" customHeight="1" thickBot="1">
      <c r="B117" s="45"/>
      <c r="C117" s="37"/>
      <c r="D117" s="45"/>
      <c r="E117" s="37"/>
      <c r="F117" s="45"/>
      <c r="G117" s="37"/>
      <c r="H117" s="46"/>
      <c r="I117" s="27"/>
      <c r="J117" s="45"/>
      <c r="K117" s="37"/>
      <c r="L117" s="46"/>
      <c r="M117" s="27"/>
      <c r="N117" s="45">
        <f>N100+N110+N114</f>
        <v>838523.2603082566</v>
      </c>
      <c r="O117" s="37"/>
      <c r="P117" s="46"/>
      <c r="Q117" s="37"/>
      <c r="R117" s="45"/>
      <c r="S117" s="37"/>
      <c r="T117" s="46"/>
      <c r="U117" s="27"/>
      <c r="V117" s="45"/>
      <c r="W117" s="37"/>
      <c r="X117" s="46"/>
      <c r="Y117" s="37"/>
      <c r="Z117" s="45"/>
      <c r="AA117" s="37"/>
      <c r="AB117" s="46"/>
      <c r="AC117" s="27"/>
      <c r="AD117" s="45"/>
      <c r="AE117" s="27"/>
      <c r="AF117" s="46"/>
      <c r="AG117" s="37"/>
      <c r="AH117" s="46"/>
      <c r="AI117" s="27"/>
      <c r="AJ117" s="45"/>
    </row>
    <row r="118" spans="1:37" ht="18.75" thickBot="1">
      <c r="A118" s="47" t="s">
        <v>96</v>
      </c>
      <c r="B118" s="36"/>
      <c r="C118" s="27"/>
      <c r="D118" s="36"/>
      <c r="E118" s="27"/>
      <c r="F118" s="36"/>
      <c r="G118" s="27"/>
      <c r="H118" s="36"/>
      <c r="I118" s="27"/>
      <c r="J118" s="36"/>
      <c r="K118" s="27"/>
      <c r="L118" s="36"/>
      <c r="M118" s="27"/>
      <c r="N118" s="36">
        <f>N100-N110-N114</f>
        <v>0.436308256641496</v>
      </c>
      <c r="O118" s="27"/>
      <c r="P118" s="36">
        <v>0</v>
      </c>
      <c r="Q118" s="27"/>
      <c r="R118" s="36"/>
      <c r="S118" s="27"/>
      <c r="T118" s="36"/>
      <c r="U118" s="27"/>
      <c r="V118" s="36">
        <f>V100-V110-V114</f>
        <v>2216.9153939374955</v>
      </c>
      <c r="W118" s="27"/>
      <c r="X118" s="36">
        <v>0</v>
      </c>
      <c r="Y118" s="27"/>
      <c r="Z118" s="36"/>
      <c r="AA118" s="27"/>
      <c r="AB118" s="36"/>
      <c r="AC118" s="27"/>
      <c r="AD118" s="36">
        <f>AD100-AD110-AD114</f>
        <v>6383.759074432484</v>
      </c>
      <c r="AE118" s="27"/>
      <c r="AF118" s="36" t="s">
        <v>0</v>
      </c>
      <c r="AG118" s="27"/>
      <c r="AH118" s="36"/>
      <c r="AI118" s="27"/>
      <c r="AJ118" s="36">
        <f>AJ100-AJ110-AJ114</f>
        <v>31575.736551777343</v>
      </c>
      <c r="AK118" s="62" t="s">
        <v>0</v>
      </c>
    </row>
    <row r="119" spans="2:36" ht="19.5" thickBot="1" thickTop="1">
      <c r="B119" s="61"/>
      <c r="C119" s="27"/>
      <c r="D119" s="61"/>
      <c r="E119" s="27"/>
      <c r="F119" s="61"/>
      <c r="G119" s="27"/>
      <c r="H119" s="34"/>
      <c r="I119" s="27"/>
      <c r="J119" s="61"/>
      <c r="K119" s="37"/>
      <c r="L119" s="34"/>
      <c r="M119" s="27"/>
      <c r="N119" s="61"/>
      <c r="O119" s="27"/>
      <c r="P119" s="34"/>
      <c r="Q119" s="37"/>
      <c r="R119" s="61"/>
      <c r="S119" s="37"/>
      <c r="T119" s="34"/>
      <c r="U119" s="27"/>
      <c r="V119" s="61"/>
      <c r="W119" s="27"/>
      <c r="X119" s="34"/>
      <c r="Y119" s="37"/>
      <c r="Z119" s="61"/>
      <c r="AA119" s="37"/>
      <c r="AB119" s="34"/>
      <c r="AC119" s="27"/>
      <c r="AD119" s="61"/>
      <c r="AE119" s="27"/>
      <c r="AF119" s="34"/>
      <c r="AG119" s="37"/>
      <c r="AH119" s="34"/>
      <c r="AI119" s="27"/>
      <c r="AJ119" s="61"/>
    </row>
    <row r="120" spans="2:31" ht="18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 t="s">
        <v>0</v>
      </c>
      <c r="W120" s="27"/>
      <c r="X120" s="27"/>
      <c r="Y120" s="27"/>
      <c r="Z120" s="27"/>
      <c r="AA120" s="27"/>
      <c r="AB120" s="27"/>
      <c r="AC120" s="27"/>
      <c r="AD120" s="27" t="s">
        <v>0</v>
      </c>
      <c r="AE120" s="27"/>
    </row>
    <row r="121" spans="1:36" ht="18">
      <c r="A121" s="5" t="s">
        <v>5</v>
      </c>
      <c r="B121" s="27"/>
      <c r="N121" s="63" t="s">
        <v>0</v>
      </c>
      <c r="V121" s="63"/>
      <c r="AD121" s="63"/>
      <c r="AJ121" s="63" t="s">
        <v>0</v>
      </c>
    </row>
    <row r="122" spans="1:2" ht="18">
      <c r="A122" s="5" t="s">
        <v>97</v>
      </c>
      <c r="B122" s="27"/>
    </row>
    <row r="123" spans="1:36" ht="18">
      <c r="A123" s="5" t="s">
        <v>98</v>
      </c>
      <c r="B123" s="64"/>
      <c r="N123" s="64"/>
      <c r="V123" s="64"/>
      <c r="X123" s="32"/>
      <c r="AD123" s="64"/>
      <c r="AJ123" s="64"/>
    </row>
    <row r="124" spans="1:36" ht="18">
      <c r="A124" s="5" t="s">
        <v>99</v>
      </c>
      <c r="B124" s="64"/>
      <c r="N124" s="64"/>
      <c r="V124" s="64"/>
      <c r="X124" s="32"/>
      <c r="AD124" s="64"/>
      <c r="AJ124" s="64"/>
    </row>
    <row r="125" spans="1:36" ht="18">
      <c r="A125" s="3"/>
      <c r="L125" s="29" t="s">
        <v>0</v>
      </c>
      <c r="N125" s="63"/>
      <c r="V125" s="63"/>
      <c r="AD125" s="63"/>
      <c r="AJ125" s="63"/>
    </row>
    <row r="126" spans="14:36" ht="18">
      <c r="N126" s="63"/>
      <c r="P126" s="62" t="s">
        <v>0</v>
      </c>
      <c r="V126" s="63"/>
      <c r="AD126" s="63"/>
      <c r="AJ126" s="63"/>
    </row>
    <row r="127" spans="14:22" ht="18">
      <c r="N127" s="63"/>
      <c r="P127" s="62"/>
      <c r="V127" s="63"/>
    </row>
    <row r="128" spans="14:37" ht="18">
      <c r="N128" s="63"/>
      <c r="P128" s="65"/>
      <c r="V128" s="63"/>
      <c r="AD128" s="63"/>
      <c r="AJ128" s="63"/>
      <c r="AK128" s="63"/>
    </row>
    <row r="130" spans="30:37" ht="18">
      <c r="AD130" s="63"/>
      <c r="AJ130" s="63"/>
      <c r="AK130" s="63"/>
    </row>
    <row r="131" spans="30:36" ht="18">
      <c r="AD131" s="63"/>
      <c r="AJ131" s="63"/>
    </row>
    <row r="132" spans="30:36" ht="18">
      <c r="AD132" s="63"/>
      <c r="AJ132" s="63"/>
    </row>
    <row r="133" ht="18">
      <c r="N133" s="3" t="s">
        <v>0</v>
      </c>
    </row>
    <row r="134" spans="14:37" ht="18">
      <c r="N134" s="63"/>
      <c r="V134" s="63"/>
      <c r="AD134" s="63"/>
      <c r="AJ134" s="63"/>
      <c r="AK134" s="63"/>
    </row>
    <row r="136" spans="14:37" ht="18">
      <c r="N136" s="63"/>
      <c r="V136" s="63"/>
      <c r="AD136" s="63"/>
      <c r="AK136" s="63"/>
    </row>
    <row r="137" spans="14:36" ht="18">
      <c r="N137" s="63"/>
      <c r="V137" s="63"/>
      <c r="AD137" s="63"/>
      <c r="AJ137" s="63"/>
    </row>
    <row r="138" spans="14:36" ht="18">
      <c r="N138" s="63"/>
      <c r="V138" s="63"/>
      <c r="AD138" s="63"/>
      <c r="AJ138" s="63"/>
    </row>
    <row r="139" spans="14:30" ht="18">
      <c r="N139" s="63" t="s">
        <v>0</v>
      </c>
      <c r="V139" s="63" t="s">
        <v>0</v>
      </c>
      <c r="AD139" s="63"/>
    </row>
    <row r="140" spans="14:30" ht="18">
      <c r="N140" s="63" t="s">
        <v>0</v>
      </c>
      <c r="V140" s="63" t="s">
        <v>0</v>
      </c>
      <c r="AD140" s="62"/>
    </row>
    <row r="142" spans="14:36" ht="18">
      <c r="N142" s="63" t="s">
        <v>0</v>
      </c>
      <c r="V142" s="63" t="s">
        <v>0</v>
      </c>
      <c r="AD142" s="63" t="s">
        <v>0</v>
      </c>
      <c r="AJ142" s="63" t="s">
        <v>0</v>
      </c>
    </row>
  </sheetData>
  <sheetProtection/>
  <printOptions/>
  <pageMargins left="0.23" right="0.13" top="0.35433070866141736" bottom="0.2362204724409449" header="0.1968503937007874" footer="0.37"/>
  <pageSetup fitToHeight="0" fitToWidth="1" horizontalDpi="600" verticalDpi="600" orientation="landscape" paperSize="9" scale="36" r:id="rId1"/>
  <headerFooter alignWithMargins="0">
    <oddHeader>&amp;R&amp;"Arial,Bold"APPENDIX A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Yorkshire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706334</dc:creator>
  <cp:keywords/>
  <dc:description/>
  <cp:lastModifiedBy>715314</cp:lastModifiedBy>
  <cp:lastPrinted>2014-01-26T11:58:57Z</cp:lastPrinted>
  <dcterms:created xsi:type="dcterms:W3CDTF">2014-01-16T15:59:42Z</dcterms:created>
  <dcterms:modified xsi:type="dcterms:W3CDTF">2014-01-26T11:59:04Z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otations">
    <vt:lpwstr/>
  </property>
  <property fmtid="{D5CDD505-2E9C-101B-9397-08002B2CF9AE}" pid="3" name="Summary">
    <vt:lpwstr/>
  </property>
  <property fmtid="{D5CDD505-2E9C-101B-9397-08002B2CF9AE}" pid="4" name="GPMS">
    <vt:lpwstr>PROTECT</vt:lpwstr>
  </property>
  <property fmtid="{D5CDD505-2E9C-101B-9397-08002B2CF9AE}" pid="5" name="Document Keywords">
    <vt:lpwstr/>
  </property>
  <property fmtid="{D5CDD505-2E9C-101B-9397-08002B2CF9AE}" pid="6" name="Last Review Date">
    <vt:lpwstr>2014-01-16T00:00:00Z</vt:lpwstr>
  </property>
  <property fmtid="{D5CDD505-2E9C-101B-9397-08002B2CF9AE}" pid="7" name="Document Origin">
    <vt:lpwstr/>
  </property>
  <property fmtid="{D5CDD505-2E9C-101B-9397-08002B2CF9AE}" pid="8" name="Item Date">
    <vt:lpwstr/>
  </property>
  <property fmtid="{D5CDD505-2E9C-101B-9397-08002B2CF9AE}" pid="9" name="Publish to CMS">
    <vt:lpwstr>No</vt:lpwstr>
  </property>
  <property fmtid="{D5CDD505-2E9C-101B-9397-08002B2CF9AE}" pid="10" name="Mark for Archive">
    <vt:lpwstr>No</vt:lpwstr>
  </property>
  <property fmtid="{D5CDD505-2E9C-101B-9397-08002B2CF9AE}" pid="11" name="Document Author">
    <vt:lpwstr/>
  </property>
  <property fmtid="{D5CDD505-2E9C-101B-9397-08002B2CF9AE}" pid="12" name="Information Type">
    <vt:lpwstr/>
  </property>
  <property fmtid="{D5CDD505-2E9C-101B-9397-08002B2CF9AE}" pid="13" name="DMS Location">
    <vt:lpwstr/>
  </property>
  <property fmtid="{D5CDD505-2E9C-101B-9397-08002B2CF9AE}" pid="14" name="Document Owner">
    <vt:lpwstr/>
  </property>
  <property fmtid="{D5CDD505-2E9C-101B-9397-08002B2CF9AE}" pid="15" name="Human Rights Complaint">
    <vt:lpwstr/>
  </property>
  <property fmtid="{D5CDD505-2E9C-101B-9397-08002B2CF9AE}" pid="16" name="Policing Bureaucracy">
    <vt:lpwstr/>
  </property>
  <property fmtid="{D5CDD505-2E9C-101B-9397-08002B2CF9AE}" pid="17" name="ContentType">
    <vt:lpwstr>Finance</vt:lpwstr>
  </property>
  <property fmtid="{D5CDD505-2E9C-101B-9397-08002B2CF9AE}" pid="18" name="URL">
    <vt:lpwstr/>
  </property>
</Properties>
</file>